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.xml" ContentType="application/vnd.openxmlformats-officedocument.drawing+xml"/>
  <Override PartName="/xl/tables/table1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87" documentId="13_ncr:1_{9BD5AD92-E673-4BC1-8562-5BD1B0C35D6F}" xr6:coauthVersionLast="47" xr6:coauthVersionMax="47" xr10:uidLastSave="{5F8DAE97-6F98-4EB0-9B23-676807E76083}"/>
  <bookViews>
    <workbookView xWindow="-28898" yWindow="-3233" windowWidth="28996" windowHeight="15795" tabRatio="760" xr2:uid="{00000000-000D-0000-FFFF-FFFF00000000}"/>
  </bookViews>
  <sheets>
    <sheet name="Einstellungen" sheetId="25" r:id="rId1"/>
    <sheet name="Aufgabenliste" sheetId="24" r:id="rId2"/>
    <sheet name="Einnahmen Ausgaben" sheetId="22" r:id="rId3"/>
    <sheet name="Vermögensaufstellung" sheetId="1" r:id="rId4"/>
    <sheet name="Vermögensüberblick" sheetId="20" r:id="rId5"/>
    <sheet name="Vermögensaufbau - Szenarien" sheetId="6" r:id="rId6"/>
  </sheets>
  <definedNames>
    <definedName name="_xlnm.Print_Area" localSheetId="3">Vermögensaufstellung!$A$1:$N$87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0" l="1"/>
  <c r="E12" i="20"/>
  <c r="F12" i="20"/>
  <c r="G12" i="20"/>
  <c r="H12" i="20"/>
  <c r="I12" i="20"/>
  <c r="J12" i="20"/>
  <c r="K12" i="20"/>
  <c r="L12" i="20"/>
  <c r="B12" i="20"/>
  <c r="A12" i="20"/>
  <c r="A29" i="20" s="1"/>
  <c r="D11" i="20"/>
  <c r="E11" i="20"/>
  <c r="F11" i="20"/>
  <c r="G11" i="20"/>
  <c r="H11" i="20"/>
  <c r="I11" i="20"/>
  <c r="J11" i="20"/>
  <c r="K11" i="20"/>
  <c r="L11" i="20"/>
  <c r="B11" i="20"/>
  <c r="A11" i="20"/>
  <c r="A28" i="20" s="1"/>
  <c r="D10" i="20"/>
  <c r="E10" i="20"/>
  <c r="A10" i="20"/>
  <c r="A27" i="20" s="1"/>
  <c r="A1" i="6"/>
  <c r="B8" i="24"/>
  <c r="A2" i="24"/>
  <c r="A11" i="24"/>
  <c r="L6" i="1"/>
  <c r="XFC58" i="1"/>
  <c r="M56" i="1"/>
  <c r="L10" i="20" s="1"/>
  <c r="L56" i="1"/>
  <c r="K10" i="20" s="1"/>
  <c r="K56" i="1"/>
  <c r="J10" i="20" s="1"/>
  <c r="J56" i="1"/>
  <c r="I10" i="20" s="1"/>
  <c r="I56" i="1"/>
  <c r="H10" i="20" s="1"/>
  <c r="H56" i="1"/>
  <c r="G10" i="20" s="1"/>
  <c r="G56" i="1"/>
  <c r="F10" i="20" s="1"/>
  <c r="F56" i="1"/>
  <c r="F6" i="1" s="1"/>
  <c r="E56" i="1"/>
  <c r="D56" i="1"/>
  <c r="C10" i="20" s="1"/>
  <c r="C56" i="1"/>
  <c r="B10" i="20" s="1"/>
  <c r="D10" i="6"/>
  <c r="I40" i="20"/>
  <c r="C40" i="20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10" i="6"/>
  <c r="C10" i="6"/>
  <c r="A10" i="6"/>
  <c r="B10" i="6" s="1"/>
  <c r="E3" i="1"/>
  <c r="F3" i="1" s="1"/>
  <c r="A1" i="1"/>
  <c r="A1" i="20"/>
  <c r="D3" i="1"/>
  <c r="M6" i="1" l="1"/>
  <c r="K6" i="1"/>
  <c r="J6" i="1"/>
  <c r="I6" i="1"/>
  <c r="H6" i="1"/>
  <c r="G6" i="1"/>
  <c r="G10" i="6"/>
  <c r="A11" i="6"/>
  <c r="E3" i="22"/>
  <c r="F3" i="22" s="1"/>
  <c r="G3" i="22" s="1"/>
  <c r="H3" i="22" s="1"/>
  <c r="I3" i="22" s="1"/>
  <c r="J3" i="22" s="1"/>
  <c r="K3" i="22" s="1"/>
  <c r="L3" i="22" s="1"/>
  <c r="M3" i="22" s="1"/>
  <c r="D3" i="22"/>
  <c r="G3" i="1"/>
  <c r="D71" i="22"/>
  <c r="E71" i="22"/>
  <c r="F71" i="22"/>
  <c r="G71" i="22"/>
  <c r="H71" i="22"/>
  <c r="I71" i="22"/>
  <c r="J71" i="22"/>
  <c r="K71" i="22"/>
  <c r="L71" i="22"/>
  <c r="M71" i="22"/>
  <c r="C71" i="22"/>
  <c r="C63" i="22"/>
  <c r="C33" i="22"/>
  <c r="D8" i="1"/>
  <c r="C4" i="20" s="1"/>
  <c r="C8" i="1"/>
  <c r="D87" i="22"/>
  <c r="E87" i="22"/>
  <c r="F87" i="22"/>
  <c r="G87" i="22"/>
  <c r="H87" i="22"/>
  <c r="I87" i="22"/>
  <c r="J87" i="22"/>
  <c r="K87" i="22"/>
  <c r="L87" i="22"/>
  <c r="M87" i="22"/>
  <c r="C87" i="22"/>
  <c r="D63" i="22"/>
  <c r="E63" i="22"/>
  <c r="F63" i="22"/>
  <c r="G63" i="22"/>
  <c r="H63" i="22"/>
  <c r="I63" i="22"/>
  <c r="J63" i="22"/>
  <c r="K63" i="22"/>
  <c r="L63" i="22"/>
  <c r="M63" i="22"/>
  <c r="D52" i="22"/>
  <c r="E52" i="22"/>
  <c r="F52" i="22"/>
  <c r="G52" i="22"/>
  <c r="H52" i="22"/>
  <c r="I52" i="22"/>
  <c r="J52" i="22"/>
  <c r="K52" i="22"/>
  <c r="L52" i="22"/>
  <c r="M52" i="22"/>
  <c r="C52" i="22"/>
  <c r="D33" i="22"/>
  <c r="E33" i="22"/>
  <c r="F33" i="22"/>
  <c r="G33" i="22"/>
  <c r="H33" i="22"/>
  <c r="I33" i="22"/>
  <c r="J33" i="22"/>
  <c r="K33" i="22"/>
  <c r="L33" i="22"/>
  <c r="M33" i="22"/>
  <c r="D20" i="22"/>
  <c r="E20" i="22"/>
  <c r="F20" i="22"/>
  <c r="G20" i="22"/>
  <c r="H20" i="22"/>
  <c r="I20" i="22"/>
  <c r="J20" i="22"/>
  <c r="K20" i="22"/>
  <c r="L20" i="22"/>
  <c r="M20" i="22"/>
  <c r="C20" i="22"/>
  <c r="F6" i="22"/>
  <c r="F4" i="22" s="1"/>
  <c r="C6" i="22"/>
  <c r="D6" i="22"/>
  <c r="E6" i="22"/>
  <c r="E4" i="22" s="1"/>
  <c r="G6" i="22"/>
  <c r="G4" i="22" s="1"/>
  <c r="H6" i="22"/>
  <c r="H4" i="22" s="1"/>
  <c r="I6" i="22"/>
  <c r="I4" i="22" s="1"/>
  <c r="J6" i="22"/>
  <c r="J4" i="22" s="1"/>
  <c r="K6" i="22"/>
  <c r="K4" i="22" s="1"/>
  <c r="L6" i="22"/>
  <c r="L4" i="22" s="1"/>
  <c r="M6" i="22"/>
  <c r="M4" i="22" s="1"/>
  <c r="A1" i="22"/>
  <c r="B11" i="6" l="1"/>
  <c r="D11" i="6" s="1"/>
  <c r="A12" i="6"/>
  <c r="H3" i="1"/>
  <c r="I3" i="1" s="1"/>
  <c r="J3" i="1" s="1"/>
  <c r="K3" i="1" s="1"/>
  <c r="L3" i="1" s="1"/>
  <c r="M3" i="1" s="1"/>
  <c r="F18" i="22"/>
  <c r="G18" i="22"/>
  <c r="M18" i="22"/>
  <c r="D18" i="22"/>
  <c r="D4" i="22" s="1"/>
  <c r="L18" i="22"/>
  <c r="K18" i="22"/>
  <c r="J18" i="22"/>
  <c r="I18" i="22"/>
  <c r="H18" i="22"/>
  <c r="E18" i="22"/>
  <c r="C18" i="22"/>
  <c r="C4" i="22" s="1"/>
  <c r="A13" i="6" l="1"/>
  <c r="B12" i="6"/>
  <c r="D12" i="6" s="1"/>
  <c r="A30" i="20"/>
  <c r="B3" i="20"/>
  <c r="A9" i="20"/>
  <c r="A26" i="20" s="1"/>
  <c r="A8" i="20"/>
  <c r="A25" i="20" s="1"/>
  <c r="A7" i="20"/>
  <c r="A24" i="20" s="1"/>
  <c r="A6" i="20"/>
  <c r="A23" i="20" s="1"/>
  <c r="A5" i="20"/>
  <c r="A22" i="20" s="1"/>
  <c r="D3" i="20"/>
  <c r="E3" i="20"/>
  <c r="F3" i="20"/>
  <c r="G3" i="20"/>
  <c r="H3" i="20"/>
  <c r="I3" i="20"/>
  <c r="J3" i="20"/>
  <c r="K3" i="20"/>
  <c r="L3" i="20"/>
  <c r="C3" i="20"/>
  <c r="A4" i="20"/>
  <c r="A21" i="20" s="1"/>
  <c r="D81" i="1"/>
  <c r="E81" i="1"/>
  <c r="F81" i="1"/>
  <c r="G81" i="1"/>
  <c r="H81" i="1"/>
  <c r="I81" i="1"/>
  <c r="J81" i="1"/>
  <c r="K81" i="1"/>
  <c r="L81" i="1"/>
  <c r="M81" i="1"/>
  <c r="C81" i="1"/>
  <c r="D73" i="1"/>
  <c r="C12" i="20" s="1"/>
  <c r="E73" i="1"/>
  <c r="F73" i="1"/>
  <c r="G73" i="1"/>
  <c r="H73" i="1"/>
  <c r="I73" i="1"/>
  <c r="J73" i="1"/>
  <c r="K73" i="1"/>
  <c r="L73" i="1"/>
  <c r="M73" i="1"/>
  <c r="C73" i="1"/>
  <c r="D65" i="1"/>
  <c r="C11" i="20" s="1"/>
  <c r="E65" i="1"/>
  <c r="F65" i="1"/>
  <c r="G65" i="1"/>
  <c r="H65" i="1"/>
  <c r="I65" i="1"/>
  <c r="J65" i="1"/>
  <c r="K65" i="1"/>
  <c r="L65" i="1"/>
  <c r="M65" i="1"/>
  <c r="C65" i="1"/>
  <c r="D48" i="1"/>
  <c r="C9" i="20" s="1"/>
  <c r="E48" i="1"/>
  <c r="D9" i="20" s="1"/>
  <c r="F48" i="1"/>
  <c r="E9" i="20" s="1"/>
  <c r="G48" i="1"/>
  <c r="F9" i="20" s="1"/>
  <c r="H48" i="1"/>
  <c r="G9" i="20" s="1"/>
  <c r="I48" i="1"/>
  <c r="H9" i="20" s="1"/>
  <c r="J48" i="1"/>
  <c r="I9" i="20" s="1"/>
  <c r="K48" i="1"/>
  <c r="J9" i="20" s="1"/>
  <c r="L48" i="1"/>
  <c r="K9" i="20" s="1"/>
  <c r="M48" i="1"/>
  <c r="L9" i="20" s="1"/>
  <c r="C48" i="1"/>
  <c r="B9" i="20" s="1"/>
  <c r="D40" i="1"/>
  <c r="C8" i="20" s="1"/>
  <c r="E40" i="1"/>
  <c r="D8" i="20" s="1"/>
  <c r="F40" i="1"/>
  <c r="E8" i="20" s="1"/>
  <c r="G40" i="1"/>
  <c r="F8" i="20" s="1"/>
  <c r="H40" i="1"/>
  <c r="G8" i="20" s="1"/>
  <c r="I40" i="1"/>
  <c r="H8" i="20" s="1"/>
  <c r="J40" i="1"/>
  <c r="I8" i="20" s="1"/>
  <c r="K40" i="1"/>
  <c r="J8" i="20" s="1"/>
  <c r="L40" i="1"/>
  <c r="K8" i="20" s="1"/>
  <c r="M40" i="1"/>
  <c r="L8" i="20" s="1"/>
  <c r="C40" i="1"/>
  <c r="B8" i="20" s="1"/>
  <c r="D32" i="1"/>
  <c r="C7" i="20" s="1"/>
  <c r="E32" i="1"/>
  <c r="F32" i="1"/>
  <c r="E7" i="20" s="1"/>
  <c r="G32" i="1"/>
  <c r="F7" i="20" s="1"/>
  <c r="H32" i="1"/>
  <c r="G7" i="20" s="1"/>
  <c r="I32" i="1"/>
  <c r="H7" i="20" s="1"/>
  <c r="J32" i="1"/>
  <c r="I7" i="20" s="1"/>
  <c r="K32" i="1"/>
  <c r="J7" i="20" s="1"/>
  <c r="L32" i="1"/>
  <c r="K7" i="20" s="1"/>
  <c r="M32" i="1"/>
  <c r="L7" i="20" s="1"/>
  <c r="C32" i="1"/>
  <c r="B7" i="20" s="1"/>
  <c r="D24" i="1"/>
  <c r="E24" i="1"/>
  <c r="D6" i="20" s="1"/>
  <c r="F24" i="1"/>
  <c r="E6" i="20" s="1"/>
  <c r="G24" i="1"/>
  <c r="F6" i="20" s="1"/>
  <c r="H24" i="1"/>
  <c r="G6" i="20" s="1"/>
  <c r="I24" i="1"/>
  <c r="H6" i="20" s="1"/>
  <c r="J24" i="1"/>
  <c r="I6" i="20" s="1"/>
  <c r="K24" i="1"/>
  <c r="J6" i="20" s="1"/>
  <c r="L24" i="1"/>
  <c r="K6" i="20" s="1"/>
  <c r="M24" i="1"/>
  <c r="L6" i="20" s="1"/>
  <c r="C24" i="1"/>
  <c r="B6" i="20" s="1"/>
  <c r="D16" i="1"/>
  <c r="E16" i="1"/>
  <c r="D5" i="20" s="1"/>
  <c r="F16" i="1"/>
  <c r="G16" i="1"/>
  <c r="F5" i="20" s="1"/>
  <c r="H16" i="1"/>
  <c r="G5" i="20" s="1"/>
  <c r="I16" i="1"/>
  <c r="H5" i="20" s="1"/>
  <c r="J16" i="1"/>
  <c r="I5" i="20" s="1"/>
  <c r="K16" i="1"/>
  <c r="J5" i="20" s="1"/>
  <c r="L16" i="1"/>
  <c r="K5" i="20" s="1"/>
  <c r="M16" i="1"/>
  <c r="L5" i="20" s="1"/>
  <c r="C16" i="1"/>
  <c r="F8" i="1"/>
  <c r="G8" i="1"/>
  <c r="H8" i="1"/>
  <c r="I8" i="1"/>
  <c r="J8" i="1"/>
  <c r="K8" i="1"/>
  <c r="L8" i="1"/>
  <c r="M8" i="1"/>
  <c r="B4" i="20"/>
  <c r="E8" i="1"/>
  <c r="XFC95" i="1"/>
  <c r="XFC86" i="1"/>
  <c r="XFC77" i="1"/>
  <c r="XFC68" i="1"/>
  <c r="XFC50" i="1"/>
  <c r="XFC41" i="1"/>
  <c r="XFC32" i="1"/>
  <c r="XFC23" i="1"/>
  <c r="XFC14" i="1"/>
  <c r="H10" i="6"/>
  <c r="C6" i="1" l="1"/>
  <c r="D7" i="20"/>
  <c r="E6" i="1"/>
  <c r="D29" i="20"/>
  <c r="D28" i="20"/>
  <c r="D27" i="20"/>
  <c r="B29" i="20"/>
  <c r="B28" i="20"/>
  <c r="B27" i="20"/>
  <c r="C6" i="20"/>
  <c r="D6" i="1"/>
  <c r="D4" i="1" s="1"/>
  <c r="B23" i="20"/>
  <c r="A14" i="6"/>
  <c r="B13" i="6"/>
  <c r="D13" i="6" s="1"/>
  <c r="G4" i="20"/>
  <c r="G13" i="20" s="1"/>
  <c r="H4" i="1"/>
  <c r="F4" i="20"/>
  <c r="G4" i="1"/>
  <c r="D4" i="20"/>
  <c r="D13" i="20" s="1"/>
  <c r="E4" i="1"/>
  <c r="E4" i="20"/>
  <c r="F4" i="1"/>
  <c r="M4" i="1"/>
  <c r="L4" i="1"/>
  <c r="K4" i="1"/>
  <c r="C5" i="20"/>
  <c r="J4" i="1"/>
  <c r="B5" i="20"/>
  <c r="B13" i="20" s="1"/>
  <c r="B30" i="20" s="1"/>
  <c r="H4" i="20"/>
  <c r="H13" i="20" s="1"/>
  <c r="I4" i="1"/>
  <c r="D23" i="20"/>
  <c r="E5" i="20"/>
  <c r="L4" i="20"/>
  <c r="L13" i="20" s="1"/>
  <c r="K4" i="20"/>
  <c r="K13" i="20" s="1"/>
  <c r="J4" i="20"/>
  <c r="J13" i="20" s="1"/>
  <c r="I4" i="20"/>
  <c r="I13" i="20" s="1"/>
  <c r="B21" i="20"/>
  <c r="B24" i="20"/>
  <c r="B25" i="20"/>
  <c r="B26" i="20"/>
  <c r="D26" i="20"/>
  <c r="F13" i="20"/>
  <c r="D25" i="20"/>
  <c r="D24" i="20"/>
  <c r="C4" i="1"/>
  <c r="C11" i="6"/>
  <c r="D22" i="20" l="1"/>
  <c r="C13" i="20"/>
  <c r="D30" i="20" s="1"/>
  <c r="E27" i="20" s="1"/>
  <c r="C27" i="20"/>
  <c r="C28" i="20"/>
  <c r="D21" i="20"/>
  <c r="A15" i="6"/>
  <c r="B14" i="6"/>
  <c r="D14" i="6" s="1"/>
  <c r="B22" i="20"/>
  <c r="E13" i="20"/>
  <c r="G11" i="6"/>
  <c r="H11" i="6" s="1"/>
  <c r="C12" i="6" s="1"/>
  <c r="E28" i="20" l="1"/>
  <c r="C24" i="20"/>
  <c r="C29" i="20"/>
  <c r="E26" i="20"/>
  <c r="E29" i="20"/>
  <c r="C22" i="20"/>
  <c r="C25" i="20"/>
  <c r="C21" i="20"/>
  <c r="C26" i="20"/>
  <c r="C23" i="20"/>
  <c r="E25" i="20"/>
  <c r="E22" i="20"/>
  <c r="E24" i="20"/>
  <c r="E23" i="20"/>
  <c r="E21" i="20"/>
  <c r="A16" i="6"/>
  <c r="B15" i="6"/>
  <c r="D15" i="6" s="1"/>
  <c r="H12" i="6"/>
  <c r="C13" i="6" s="1"/>
  <c r="G12" i="6"/>
  <c r="A17" i="6" l="1"/>
  <c r="B16" i="6"/>
  <c r="D16" i="6" s="1"/>
  <c r="G13" i="6"/>
  <c r="H13" i="6" s="1"/>
  <c r="C14" i="6" s="1"/>
  <c r="A18" i="6" l="1"/>
  <c r="B17" i="6"/>
  <c r="D17" i="6" s="1"/>
  <c r="H14" i="6"/>
  <c r="C15" i="6" s="1"/>
  <c r="G14" i="6"/>
  <c r="A19" i="6" l="1"/>
  <c r="B18" i="6"/>
  <c r="D18" i="6" s="1"/>
  <c r="G15" i="6"/>
  <c r="H15" i="6" s="1"/>
  <c r="C16" i="6" s="1"/>
  <c r="A20" i="6" l="1"/>
  <c r="B19" i="6"/>
  <c r="D19" i="6" s="1"/>
  <c r="H16" i="6"/>
  <c r="C17" i="6" s="1"/>
  <c r="G16" i="6"/>
  <c r="A21" i="6" l="1"/>
  <c r="B20" i="6"/>
  <c r="D20" i="6" s="1"/>
  <c r="G17" i="6"/>
  <c r="H17" i="6" s="1"/>
  <c r="C18" i="6" s="1"/>
  <c r="A22" i="6" l="1"/>
  <c r="B21" i="6"/>
  <c r="D21" i="6" s="1"/>
  <c r="H18" i="6"/>
  <c r="C19" i="6" s="1"/>
  <c r="G18" i="6"/>
  <c r="A23" i="6" l="1"/>
  <c r="B22" i="6"/>
  <c r="D22" i="6" s="1"/>
  <c r="G19" i="6"/>
  <c r="H19" i="6" s="1"/>
  <c r="C20" i="6" s="1"/>
  <c r="A24" i="6" l="1"/>
  <c r="B23" i="6"/>
  <c r="D23" i="6" s="1"/>
  <c r="H20" i="6"/>
  <c r="C21" i="6" s="1"/>
  <c r="G20" i="6"/>
  <c r="A25" i="6" l="1"/>
  <c r="B24" i="6"/>
  <c r="D24" i="6" s="1"/>
  <c r="G21" i="6"/>
  <c r="H21" i="6" s="1"/>
  <c r="C22" i="6" s="1"/>
  <c r="A26" i="6" l="1"/>
  <c r="B25" i="6"/>
  <c r="D25" i="6" s="1"/>
  <c r="H22" i="6"/>
  <c r="C23" i="6" s="1"/>
  <c r="G22" i="6"/>
  <c r="A27" i="6" l="1"/>
  <c r="B26" i="6"/>
  <c r="D26" i="6" s="1"/>
  <c r="G23" i="6"/>
  <c r="H23" i="6" s="1"/>
  <c r="C24" i="6" s="1"/>
  <c r="A28" i="6" l="1"/>
  <c r="B27" i="6"/>
  <c r="D27" i="6" s="1"/>
  <c r="H24" i="6"/>
  <c r="C25" i="6" s="1"/>
  <c r="G24" i="6"/>
  <c r="A29" i="6" l="1"/>
  <c r="B28" i="6"/>
  <c r="D28" i="6" s="1"/>
  <c r="G25" i="6"/>
  <c r="H25" i="6" s="1"/>
  <c r="C26" i="6" s="1"/>
  <c r="A30" i="6" l="1"/>
  <c r="B29" i="6"/>
  <c r="D29" i="6" s="1"/>
  <c r="H26" i="6"/>
  <c r="C27" i="6" s="1"/>
  <c r="G26" i="6"/>
  <c r="A31" i="6" l="1"/>
  <c r="B30" i="6"/>
  <c r="D30" i="6" s="1"/>
  <c r="G27" i="6"/>
  <c r="H27" i="6" s="1"/>
  <c r="C28" i="6" s="1"/>
  <c r="A32" i="6" l="1"/>
  <c r="B31" i="6"/>
  <c r="D31" i="6" s="1"/>
  <c r="H28" i="6"/>
  <c r="C29" i="6" s="1"/>
  <c r="G28" i="6"/>
  <c r="A33" i="6" l="1"/>
  <c r="B32" i="6"/>
  <c r="D32" i="6" s="1"/>
  <c r="G29" i="6"/>
  <c r="H29" i="6" s="1"/>
  <c r="C30" i="6" s="1"/>
  <c r="A34" i="6" l="1"/>
  <c r="B33" i="6"/>
  <c r="D33" i="6" s="1"/>
  <c r="H30" i="6"/>
  <c r="C31" i="6" s="1"/>
  <c r="G30" i="6"/>
  <c r="A35" i="6" l="1"/>
  <c r="B34" i="6"/>
  <c r="D34" i="6" s="1"/>
  <c r="G31" i="6"/>
  <c r="H31" i="6" s="1"/>
  <c r="C32" i="6" s="1"/>
  <c r="A36" i="6" l="1"/>
  <c r="B35" i="6"/>
  <c r="D35" i="6" s="1"/>
  <c r="H32" i="6"/>
  <c r="C33" i="6" s="1"/>
  <c r="G32" i="6"/>
  <c r="A37" i="6" l="1"/>
  <c r="B36" i="6"/>
  <c r="D36" i="6" s="1"/>
  <c r="G33" i="6"/>
  <c r="H33" i="6" s="1"/>
  <c r="C34" i="6" s="1"/>
  <c r="A38" i="6" l="1"/>
  <c r="B37" i="6"/>
  <c r="D37" i="6" s="1"/>
  <c r="H34" i="6"/>
  <c r="C35" i="6" s="1"/>
  <c r="G34" i="6"/>
  <c r="A39" i="6" l="1"/>
  <c r="B38" i="6"/>
  <c r="D38" i="6" s="1"/>
  <c r="G35" i="6"/>
  <c r="H35" i="6" s="1"/>
  <c r="C36" i="6" s="1"/>
  <c r="A40" i="6" l="1"/>
  <c r="B39" i="6"/>
  <c r="D39" i="6" s="1"/>
  <c r="H36" i="6"/>
  <c r="C37" i="6" s="1"/>
  <c r="G36" i="6"/>
  <c r="A41" i="6" l="1"/>
  <c r="B40" i="6"/>
  <c r="D40" i="6" s="1"/>
  <c r="G37" i="6"/>
  <c r="H37" i="6" s="1"/>
  <c r="C38" i="6" s="1"/>
  <c r="A42" i="6" l="1"/>
  <c r="B41" i="6"/>
  <c r="D41" i="6" s="1"/>
  <c r="H38" i="6"/>
  <c r="C39" i="6" s="1"/>
  <c r="G38" i="6"/>
  <c r="A43" i="6" l="1"/>
  <c r="B42" i="6"/>
  <c r="D42" i="6" s="1"/>
  <c r="G39" i="6"/>
  <c r="H39" i="6" s="1"/>
  <c r="C40" i="6" s="1"/>
  <c r="A44" i="6" l="1"/>
  <c r="B43" i="6"/>
  <c r="D43" i="6" s="1"/>
  <c r="H40" i="6"/>
  <c r="C41" i="6" s="1"/>
  <c r="G40" i="6"/>
  <c r="A45" i="6" l="1"/>
  <c r="B44" i="6"/>
  <c r="D44" i="6" s="1"/>
  <c r="G41" i="6"/>
  <c r="H41" i="6" s="1"/>
  <c r="C42" i="6" s="1"/>
  <c r="A46" i="6" l="1"/>
  <c r="B45" i="6"/>
  <c r="D45" i="6" s="1"/>
  <c r="H42" i="6"/>
  <c r="C43" i="6" s="1"/>
  <c r="G42" i="6"/>
  <c r="A47" i="6" l="1"/>
  <c r="B46" i="6"/>
  <c r="D46" i="6" s="1"/>
  <c r="G43" i="6"/>
  <c r="H43" i="6" s="1"/>
  <c r="C44" i="6" s="1"/>
  <c r="A48" i="6" l="1"/>
  <c r="B47" i="6"/>
  <c r="D47" i="6" s="1"/>
  <c r="H44" i="6"/>
  <c r="C45" i="6" s="1"/>
  <c r="G44" i="6"/>
  <c r="A49" i="6" l="1"/>
  <c r="B48" i="6"/>
  <c r="D48" i="6" s="1"/>
  <c r="G45" i="6"/>
  <c r="H45" i="6" s="1"/>
  <c r="C46" i="6" s="1"/>
  <c r="H46" i="6" l="1"/>
  <c r="C47" i="6" s="1"/>
  <c r="G46" i="6"/>
  <c r="A50" i="6"/>
  <c r="B49" i="6"/>
  <c r="D49" i="6" s="1"/>
  <c r="A51" i="6" l="1"/>
  <c r="B50" i="6"/>
  <c r="D50" i="6" s="1"/>
  <c r="G47" i="6"/>
  <c r="H47" i="6" s="1"/>
  <c r="C48" i="6" s="1"/>
  <c r="A52" i="6" l="1"/>
  <c r="B51" i="6"/>
  <c r="D51" i="6" s="1"/>
  <c r="H48" i="6"/>
  <c r="C49" i="6" s="1"/>
  <c r="G48" i="6"/>
  <c r="A53" i="6" l="1"/>
  <c r="B52" i="6"/>
  <c r="D52" i="6" s="1"/>
  <c r="G49" i="6"/>
  <c r="H49" i="6" s="1"/>
  <c r="C50" i="6" s="1"/>
  <c r="A54" i="6" l="1"/>
  <c r="B53" i="6"/>
  <c r="D53" i="6" s="1"/>
  <c r="H50" i="6"/>
  <c r="C51" i="6" s="1"/>
  <c r="G50" i="6"/>
  <c r="A55" i="6" l="1"/>
  <c r="B54" i="6"/>
  <c r="D54" i="6" s="1"/>
  <c r="G51" i="6"/>
  <c r="H51" i="6" s="1"/>
  <c r="C52" i="6" s="1"/>
  <c r="A56" i="6" l="1"/>
  <c r="B55" i="6"/>
  <c r="D55" i="6" s="1"/>
  <c r="H52" i="6"/>
  <c r="C53" i="6" s="1"/>
  <c r="G52" i="6"/>
  <c r="A57" i="6" l="1"/>
  <c r="B56" i="6"/>
  <c r="D56" i="6" s="1"/>
  <c r="G53" i="6"/>
  <c r="H53" i="6" s="1"/>
  <c r="C54" i="6" s="1"/>
  <c r="A58" i="6" l="1"/>
  <c r="B57" i="6"/>
  <c r="D57" i="6" s="1"/>
  <c r="H54" i="6"/>
  <c r="C55" i="6" s="1"/>
  <c r="G54" i="6"/>
  <c r="A59" i="6" l="1"/>
  <c r="B58" i="6"/>
  <c r="D58" i="6" s="1"/>
  <c r="G55" i="6"/>
  <c r="H55" i="6" s="1"/>
  <c r="C56" i="6" s="1"/>
  <c r="A60" i="6" l="1"/>
  <c r="B59" i="6"/>
  <c r="D59" i="6" s="1"/>
  <c r="H56" i="6"/>
  <c r="C57" i="6" s="1"/>
  <c r="G56" i="6"/>
  <c r="A61" i="6" l="1"/>
  <c r="B60" i="6"/>
  <c r="D60" i="6" s="1"/>
  <c r="G57" i="6"/>
  <c r="H57" i="6" s="1"/>
  <c r="C58" i="6" s="1"/>
  <c r="A62" i="6" l="1"/>
  <c r="B61" i="6"/>
  <c r="D61" i="6" s="1"/>
  <c r="H58" i="6"/>
  <c r="C59" i="6" s="1"/>
  <c r="G58" i="6"/>
  <c r="A63" i="6" l="1"/>
  <c r="B62" i="6"/>
  <c r="D62" i="6" s="1"/>
  <c r="G59" i="6"/>
  <c r="H59" i="6" s="1"/>
  <c r="C60" i="6" s="1"/>
  <c r="A64" i="6" l="1"/>
  <c r="B63" i="6"/>
  <c r="D63" i="6" s="1"/>
  <c r="H60" i="6"/>
  <c r="C61" i="6" s="1"/>
  <c r="G60" i="6"/>
  <c r="A65" i="6" l="1"/>
  <c r="B64" i="6"/>
  <c r="D64" i="6" s="1"/>
  <c r="G61" i="6"/>
  <c r="H61" i="6" s="1"/>
  <c r="C62" i="6" s="1"/>
  <c r="A66" i="6" l="1"/>
  <c r="B65" i="6"/>
  <c r="D65" i="6" s="1"/>
  <c r="H62" i="6"/>
  <c r="C63" i="6" s="1"/>
  <c r="G62" i="6"/>
  <c r="A67" i="6" l="1"/>
  <c r="B66" i="6"/>
  <c r="D66" i="6" s="1"/>
  <c r="G63" i="6"/>
  <c r="H63" i="6" s="1"/>
  <c r="C64" i="6" s="1"/>
  <c r="A68" i="6" l="1"/>
  <c r="B67" i="6"/>
  <c r="D67" i="6" s="1"/>
  <c r="H64" i="6"/>
  <c r="C65" i="6" s="1"/>
  <c r="G64" i="6"/>
  <c r="A69" i="6" l="1"/>
  <c r="B68" i="6"/>
  <c r="D68" i="6" s="1"/>
  <c r="G65" i="6"/>
  <c r="H65" i="6" s="1"/>
  <c r="C66" i="6" s="1"/>
  <c r="A70" i="6" l="1"/>
  <c r="B69" i="6"/>
  <c r="D69" i="6" s="1"/>
  <c r="H66" i="6"/>
  <c r="C67" i="6" s="1"/>
  <c r="G66" i="6"/>
  <c r="A71" i="6" l="1"/>
  <c r="B70" i="6"/>
  <c r="D70" i="6" s="1"/>
  <c r="G67" i="6"/>
  <c r="H67" i="6" s="1"/>
  <c r="C68" i="6" s="1"/>
  <c r="A72" i="6" l="1"/>
  <c r="B71" i="6"/>
  <c r="D71" i="6" s="1"/>
  <c r="H68" i="6"/>
  <c r="C69" i="6" s="1"/>
  <c r="G68" i="6"/>
  <c r="A73" i="6" l="1"/>
  <c r="B72" i="6"/>
  <c r="D72" i="6" s="1"/>
  <c r="G69" i="6"/>
  <c r="H69" i="6" s="1"/>
  <c r="C70" i="6" s="1"/>
  <c r="A74" i="6" l="1"/>
  <c r="B73" i="6"/>
  <c r="D73" i="6" s="1"/>
  <c r="H70" i="6"/>
  <c r="C71" i="6" s="1"/>
  <c r="G70" i="6"/>
  <c r="A75" i="6" l="1"/>
  <c r="B74" i="6"/>
  <c r="D74" i="6" s="1"/>
  <c r="G71" i="6"/>
  <c r="H71" i="6" s="1"/>
  <c r="C72" i="6" s="1"/>
  <c r="A76" i="6" l="1"/>
  <c r="B75" i="6"/>
  <c r="D75" i="6" s="1"/>
  <c r="H72" i="6"/>
  <c r="C73" i="6" s="1"/>
  <c r="G72" i="6"/>
  <c r="A77" i="6" l="1"/>
  <c r="B76" i="6"/>
  <c r="D76" i="6" s="1"/>
  <c r="G73" i="6"/>
  <c r="H73" i="6" s="1"/>
  <c r="C74" i="6" s="1"/>
  <c r="A78" i="6" l="1"/>
  <c r="B77" i="6"/>
  <c r="D77" i="6" s="1"/>
  <c r="H74" i="6"/>
  <c r="C75" i="6" s="1"/>
  <c r="G74" i="6"/>
  <c r="A79" i="6" l="1"/>
  <c r="B78" i="6"/>
  <c r="D78" i="6" s="1"/>
  <c r="G75" i="6"/>
  <c r="H75" i="6" s="1"/>
  <c r="C76" i="6" s="1"/>
  <c r="A80" i="6" l="1"/>
  <c r="B79" i="6"/>
  <c r="D79" i="6" s="1"/>
  <c r="H76" i="6"/>
  <c r="C77" i="6" s="1"/>
  <c r="G76" i="6"/>
  <c r="A81" i="6" l="1"/>
  <c r="B80" i="6"/>
  <c r="D80" i="6" s="1"/>
  <c r="G77" i="6"/>
  <c r="H77" i="6" s="1"/>
  <c r="C78" i="6" s="1"/>
  <c r="A82" i="6" l="1"/>
  <c r="B81" i="6"/>
  <c r="D81" i="6" s="1"/>
  <c r="H78" i="6"/>
  <c r="C79" i="6" s="1"/>
  <c r="G78" i="6"/>
  <c r="A83" i="6" l="1"/>
  <c r="B82" i="6"/>
  <c r="D82" i="6" s="1"/>
  <c r="G79" i="6"/>
  <c r="H79" i="6" s="1"/>
  <c r="C80" i="6" s="1"/>
  <c r="A84" i="6" l="1"/>
  <c r="B83" i="6"/>
  <c r="D83" i="6" s="1"/>
  <c r="H80" i="6"/>
  <c r="C81" i="6" s="1"/>
  <c r="G80" i="6"/>
  <c r="A85" i="6" l="1"/>
  <c r="B84" i="6"/>
  <c r="D84" i="6" s="1"/>
  <c r="G81" i="6"/>
  <c r="H81" i="6" s="1"/>
  <c r="C82" i="6" s="1"/>
  <c r="A86" i="6" l="1"/>
  <c r="B85" i="6"/>
  <c r="D85" i="6" s="1"/>
  <c r="H82" i="6"/>
  <c r="C83" i="6" s="1"/>
  <c r="G82" i="6"/>
  <c r="A87" i="6" l="1"/>
  <c r="B86" i="6"/>
  <c r="D86" i="6" s="1"/>
  <c r="G83" i="6"/>
  <c r="H83" i="6"/>
  <c r="C84" i="6" s="1"/>
  <c r="A88" i="6" l="1"/>
  <c r="B87" i="6"/>
  <c r="D87" i="6" s="1"/>
  <c r="G84" i="6"/>
  <c r="H84" i="6"/>
  <c r="C85" i="6" s="1"/>
  <c r="A89" i="6" l="1"/>
  <c r="B89" i="6" s="1"/>
  <c r="B88" i="6"/>
  <c r="D88" i="6" s="1"/>
  <c r="G85" i="6"/>
  <c r="H85" i="6"/>
  <c r="C86" i="6" s="1"/>
  <c r="D89" i="6" l="1"/>
  <c r="G86" i="6"/>
  <c r="H86" i="6"/>
  <c r="C87" i="6" s="1"/>
  <c r="G87" i="6" l="1"/>
  <c r="H87" i="6"/>
  <c r="C88" i="6" s="1"/>
  <c r="G88" i="6" l="1"/>
  <c r="H88" i="6"/>
  <c r="C89" i="6" s="1"/>
  <c r="G89" i="6" l="1"/>
  <c r="H89" i="6"/>
</calcChain>
</file>

<file path=xl/sharedStrings.xml><?xml version="1.0" encoding="utf-8"?>
<sst xmlns="http://schemas.openxmlformats.org/spreadsheetml/2006/main" count="216" uniqueCount="185">
  <si>
    <t>Verbindlichkeiten</t>
  </si>
  <si>
    <t>Sonstiges</t>
  </si>
  <si>
    <t>SUMME</t>
  </si>
  <si>
    <t>KFZ</t>
  </si>
  <si>
    <t>Immobilien</t>
  </si>
  <si>
    <t>Rendite</t>
  </si>
  <si>
    <t>Start-Vermögen</t>
  </si>
  <si>
    <t>End-Vermögen</t>
  </si>
  <si>
    <t>Zinsen</t>
  </si>
  <si>
    <t>Gold</t>
  </si>
  <si>
    <t>Silber</t>
  </si>
  <si>
    <t>Haushaltsgeräte</t>
  </si>
  <si>
    <t>Küche, WaMa, Kühlschrank</t>
  </si>
  <si>
    <t>Bargeld</t>
  </si>
  <si>
    <t>Alter</t>
  </si>
  <si>
    <t>Güter</t>
  </si>
  <si>
    <t>REITs</t>
  </si>
  <si>
    <t>Rohstoffe</t>
  </si>
  <si>
    <t>Münzsammlung</t>
  </si>
  <si>
    <t>Tagesgeld</t>
  </si>
  <si>
    <t>Bank 1</t>
  </si>
  <si>
    <t>Girokonto</t>
  </si>
  <si>
    <t>Bank 2</t>
  </si>
  <si>
    <t>Broker 1</t>
  </si>
  <si>
    <t>Aktien, Fonds, ETFs</t>
  </si>
  <si>
    <t>Broker 2</t>
  </si>
  <si>
    <t>Physisch (Tresor)</t>
  </si>
  <si>
    <t>Kryptobörse</t>
  </si>
  <si>
    <t>Geldbeutel</t>
  </si>
  <si>
    <t>Eigentumswohnung</t>
  </si>
  <si>
    <t>Versicherung 1</t>
  </si>
  <si>
    <t>Versicherung 2</t>
  </si>
  <si>
    <t>Versicherung 3</t>
  </si>
  <si>
    <t>Basisrente (Policenwert)</t>
  </si>
  <si>
    <t>Riesterrente (Policenwert)</t>
  </si>
  <si>
    <t>betriebliche Altersvorsorge (Policenwert)</t>
  </si>
  <si>
    <t>Bafög-Kredit</t>
  </si>
  <si>
    <t>Darlehen</t>
  </si>
  <si>
    <t>Verträge</t>
  </si>
  <si>
    <t>Spar-/Rentenverträge für Alter, Bauen, …</t>
  </si>
  <si>
    <t>Versicherung 4</t>
  </si>
  <si>
    <t>Bausparvertrag (Policenwert)</t>
  </si>
  <si>
    <t>Schulden bei Banken etc.</t>
  </si>
  <si>
    <t>Starttermin:</t>
  </si>
  <si>
    <t>Name:</t>
  </si>
  <si>
    <t>Einnahmen</t>
  </si>
  <si>
    <t>Nebenverdienst</t>
  </si>
  <si>
    <t>Ausgaben</t>
  </si>
  <si>
    <t>Miete</t>
  </si>
  <si>
    <t>Stellplatz</t>
  </si>
  <si>
    <t>Nebenkosten</t>
  </si>
  <si>
    <t>Internet</t>
  </si>
  <si>
    <t>Wohnen</t>
  </si>
  <si>
    <t>Haftpflicht</t>
  </si>
  <si>
    <t>Wasser</t>
  </si>
  <si>
    <t>Grundsteuer</t>
  </si>
  <si>
    <t>Handy</t>
  </si>
  <si>
    <t>Müll</t>
  </si>
  <si>
    <t>TV</t>
  </si>
  <si>
    <t>Ernährung</t>
  </si>
  <si>
    <t>Drogerie</t>
  </si>
  <si>
    <t>Geschenke</t>
  </si>
  <si>
    <t>Absicherung</t>
  </si>
  <si>
    <t>Urlaub</t>
  </si>
  <si>
    <t>Gehalt/Lohn</t>
  </si>
  <si>
    <t>Kindergeld</t>
  </si>
  <si>
    <t>Weitere Zuschüsse</t>
  </si>
  <si>
    <t>Dividenen</t>
  </si>
  <si>
    <t>z.B. auf Festgeld</t>
  </si>
  <si>
    <t>Ab folgendem Stichtag</t>
  </si>
  <si>
    <t>Lebenshaltung</t>
  </si>
  <si>
    <t>Supermarkt</t>
  </si>
  <si>
    <t>Essen gehen/bestellen</t>
  </si>
  <si>
    <t>Bekleidung</t>
  </si>
  <si>
    <t>Mobilität</t>
  </si>
  <si>
    <t>Gesundheit</t>
  </si>
  <si>
    <t>Strom</t>
  </si>
  <si>
    <t>Gas</t>
  </si>
  <si>
    <t>Medien</t>
  </si>
  <si>
    <t>Zeitschriften, Streamingdienste</t>
  </si>
  <si>
    <t>Reparaturen/Instandhaltung</t>
  </si>
  <si>
    <t>Freizeit</t>
  </si>
  <si>
    <t>Hobbies</t>
  </si>
  <si>
    <t>Sport, …</t>
  </si>
  <si>
    <t>Kultur</t>
  </si>
  <si>
    <t>Kino, Oper, …</t>
  </si>
  <si>
    <t>Bildung</t>
  </si>
  <si>
    <t>Ausbildung</t>
  </si>
  <si>
    <t>Ausbildung, Schule, Studium</t>
  </si>
  <si>
    <t>Berufliche Ausgaben</t>
  </si>
  <si>
    <t>z.B. durch ETFs</t>
  </si>
  <si>
    <t>Weitere Ausgaben</t>
  </si>
  <si>
    <t>Nettovermögen</t>
  </si>
  <si>
    <t>Stichtag</t>
  </si>
  <si>
    <t>Fahrzeug</t>
  </si>
  <si>
    <t>z.B. Leasingrate</t>
  </si>
  <si>
    <t>ÖPNV, Auto, Benzin, …</t>
  </si>
  <si>
    <t>Berufsunfähigkeit</t>
  </si>
  <si>
    <t>Krankenzusatzversicherung</t>
  </si>
  <si>
    <t>Rechtsschutzversicherung</t>
  </si>
  <si>
    <t>Wohngebäudeversicherung</t>
  </si>
  <si>
    <t>Reisen</t>
  </si>
  <si>
    <t>evtl. Rücklagen für größeren Urlaub</t>
  </si>
  <si>
    <t>Basisrente</t>
  </si>
  <si>
    <t>Riesterrente</t>
  </si>
  <si>
    <t>Auslandskrankenversicherung</t>
  </si>
  <si>
    <t>Hausratversicherung</t>
  </si>
  <si>
    <t>Haftpflicht, Teil-/Vollkasko</t>
  </si>
  <si>
    <t>Rückzahlung eines Kredits</t>
  </si>
  <si>
    <t>Leasinggebühr von xyz</t>
  </si>
  <si>
    <t>Erster regelmäßiger Termin:</t>
  </si>
  <si>
    <t>Beispiel</t>
  </si>
  <si>
    <t>(netto)</t>
  </si>
  <si>
    <t>Musterstraße 5 (vermietet)</t>
  </si>
  <si>
    <t>Aufgabenliste</t>
  </si>
  <si>
    <t>o</t>
  </si>
  <si>
    <t>Auto</t>
  </si>
  <si>
    <t>Vermögenswerte</t>
  </si>
  <si>
    <t>Einstellungen</t>
  </si>
  <si>
    <t>(Erste Erfassung deines Vermögens)</t>
  </si>
  <si>
    <t>(Zu diesem Datum erfasst du zum ersten Mal dein Vermögen im 12-Monats-Zyklus)</t>
  </si>
  <si>
    <t>(Dein Name erscheint auf den weiteren Tabellenblättern)</t>
  </si>
  <si>
    <t>Geburtsjahr:</t>
  </si>
  <si>
    <t>(Zur Berechnung deines Alters in der Vermögensaufbau-Berechnung)</t>
  </si>
  <si>
    <t>Angenommene Rendite</t>
  </si>
  <si>
    <t>Monatliche Sparrate</t>
  </si>
  <si>
    <t>Angenommenes Rentenalter</t>
  </si>
  <si>
    <t>Wertveränderung</t>
  </si>
  <si>
    <t>Einzahlung/Auszahlungen</t>
  </si>
  <si>
    <t>Monatliche Entnahme ab Rentenalter</t>
  </si>
  <si>
    <t>Jährliche Erhöhung der Sparrate/Rente</t>
  </si>
  <si>
    <t>(Sollte ungefähr der Inflation entsprechen)</t>
  </si>
  <si>
    <t>(Ab diesem Alter wird nichts mehr investiert…)</t>
  </si>
  <si>
    <t>(… und stattdessen dieser Betrag entnommen)</t>
  </si>
  <si>
    <t>Verschaffe dir einen Überblick über dein Vermögen indem du Tabellenblatt "Vermögensaufstellung" nutzt.</t>
  </si>
  <si>
    <t>Vergleich</t>
  </si>
  <si>
    <t>Ziele</t>
  </si>
  <si>
    <t>Überschuss</t>
  </si>
  <si>
    <t>zu</t>
  </si>
  <si>
    <t>Ein-/Auszahlungserhöhung</t>
  </si>
  <si>
    <t>Muster</t>
  </si>
  <si>
    <t>(Wie viel Geld hast du bereits investiert?)</t>
  </si>
  <si>
    <t>(Von dieser jährlichen Rendite gehst du in deiner Planung aus)</t>
  </si>
  <si>
    <t>(So viel sparst und investierst du jeden Monat)</t>
  </si>
  <si>
    <t>Festgeld 1</t>
  </si>
  <si>
    <t>Festgeld 2</t>
  </si>
  <si>
    <t>Edelmetalle und andere Rohstoffe</t>
  </si>
  <si>
    <t>Notgroschen, Bargeld, Girokonto, Tagesgeld</t>
  </si>
  <si>
    <t>Festgeld</t>
  </si>
  <si>
    <t>Immobilien und REITs</t>
  </si>
  <si>
    <t>Sammlerstücke, …</t>
  </si>
  <si>
    <t>Kryptowährungen</t>
  </si>
  <si>
    <t>BTC, ETH, …</t>
  </si>
  <si>
    <t>ETH</t>
  </si>
  <si>
    <t>BTC</t>
  </si>
  <si>
    <t>Bankschließfach</t>
  </si>
  <si>
    <t>Schmuckschatulle</t>
  </si>
  <si>
    <t>Vererbter Schmuck</t>
  </si>
  <si>
    <t>Hinweis:</t>
  </si>
  <si>
    <t>Bei Unsicherheiten/Unklarheiten konsultiere bitte eine entsprechende Beratung.</t>
  </si>
  <si>
    <t>Bei manchen Anlagen können zudem Währungseinflüsse die Rendite erhöhen oder verringern.</t>
  </si>
  <si>
    <t>Diese Arbeitsvorlage wurde mit Sorgfalt und anhand eigener Erfahrungen als privater Anleger erstellt. An dieser Stelle muss jedoch darauf hingewiesen werden, dass die Vorlage weder  Anlageberatung noch Kaufempfehlung darstellt.</t>
  </si>
  <si>
    <t>Außerdem übernehmen wir nicht die Verantwortung für die Richtigkeit, Vollständigkeit und Genauigkeit der Angaben. Die Arbeitsvorlage dient als generelles Beispiel - individuelle Gegebenheiten sind hier nicht abgebildet.</t>
  </si>
  <si>
    <t>An einigen Stellen wurde die Vorlage vereinfacht; beispielsweise bei der Darstellung komplexer Steuergesetze.</t>
  </si>
  <si>
    <t>Die Wertentwicklung in der Vergangenheit stellt  keinen zuverlässigen Indikator für zukünftige Entwicklungen dar. Aktien, Fonds und andere Anlagen können im Kurs steigen oder fallen. Auch ein Totalverlust ist nicht ausgeschlossen.</t>
  </si>
  <si>
    <t>Dafür gibt es Experten, denen eine entsprechende Beratung oder Vermittlung vorbehalten ist.</t>
  </si>
  <si>
    <t>Wir selbst führen keine Beratung oder Vermittlung nach §§ 34c-34j GewO durch, da wir über die gewerblichen Zulassungen nicht verfügen.</t>
  </si>
  <si>
    <t>Wir verbinden dich jedoch gerne mit unserem Experten-Netzwerk.</t>
  </si>
  <si>
    <t>Weitere Inhalte findest du jederzeit auf unserer Webseite:</t>
  </si>
  <si>
    <t>Du hat individuelle Fragen? Nutze gerne unser Experten-Netzwerk:</t>
  </si>
  <si>
    <t>https://sicher-zu-wohlstand.de</t>
  </si>
  <si>
    <t>https://sicher-zu-wohlstand.de/experten-netzwerk</t>
  </si>
  <si>
    <t>Lese den Finanz-Reiseführer vollständig.</t>
  </si>
  <si>
    <t>Trage im Tabellenblatt "Einstellungen" die wichtigsten Daten ein.</t>
  </si>
  <si>
    <t>Trage die aktuellen Einnahmen und Ausgaben im Tabellenblatt "Einnahmen Ausgaben" ein. Wie hoch ist dein monatlicher Überschuss?</t>
  </si>
  <si>
    <t>Berechne mit dem Tabellenblatt "Vermögensaufbau - Szenarien" das Endvermögen für verschiedene Szenarien. Sind deine Ziele erreichbar?</t>
  </si>
  <si>
    <t>Erfasse das aktuelle Vermögen im Tabellenblatt "Vermögensaufstellung"</t>
  </si>
  <si>
    <t>Hast du die vorherigen Ziele im Tabellenblatt "Vermögensüberblick" erreicht? Wenn nein, warum nicht?</t>
  </si>
  <si>
    <t>Prüfe, ob das Tabellenblatt "Einnahmen Ausgaben" noch zutrifft.</t>
  </si>
  <si>
    <t>Setze dir bis zu 3 Ziele für die nächsten 12 Monate und halte sie im Tabellenblatt "Vermögensüberblick" fest.</t>
  </si>
  <si>
    <t>Stand: 28.09.2025</t>
  </si>
  <si>
    <t>Liquidität</t>
  </si>
  <si>
    <t>Geldmarkt</t>
  </si>
  <si>
    <t>Börse</t>
  </si>
  <si>
    <t>Welche Güter könntest du zu Geld machen?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</si>
</sst>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lightUp">
        <fgColor theme="4" tint="0.39994506668294322"/>
        <bgColor theme="4" tint="0.59996337778862885"/>
      </patternFill>
    </fill>
    <fill>
      <patternFill patternType="lightUp">
        <fgColor theme="4" tint="0.39994506668294322"/>
        <bgColor theme="5" tint="0.39997558519241921"/>
      </patternFill>
    </fill>
    <fill>
      <patternFill patternType="solid">
        <fgColor theme="4"/>
        <bgColor theme="4"/>
      </patternFill>
    </fill>
    <fill>
      <patternFill patternType="lightUp">
        <fgColor theme="5" tint="0.39994506668294322"/>
        <bgColor theme="5" tint="0.79998168889431442"/>
      </patternFill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2" borderId="2" applyNumberFormat="0" applyAlignment="0" applyProtection="0"/>
    <xf numFmtId="0" fontId="7" fillId="5" borderId="2" applyAlignment="0" applyProtection="0"/>
    <xf numFmtId="0" fontId="10" fillId="6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10" fontId="0" fillId="0" borderId="0" xfId="0" applyNumberFormat="1"/>
    <xf numFmtId="10" fontId="1" fillId="0" borderId="0" xfId="0" applyNumberFormat="1" applyFont="1"/>
    <xf numFmtId="10" fontId="0" fillId="0" borderId="0" xfId="1" applyNumberFormat="1" applyFont="1"/>
    <xf numFmtId="164" fontId="0" fillId="0" borderId="0" xfId="1" applyNumberFormat="1" applyFont="1"/>
    <xf numFmtId="10" fontId="1" fillId="0" borderId="0" xfId="1" applyNumberFormat="1" applyFont="1"/>
    <xf numFmtId="4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5" fontId="5" fillId="0" borderId="0" xfId="2" applyNumberFormat="1"/>
    <xf numFmtId="165" fontId="7" fillId="2" borderId="2" xfId="4" applyNumberFormat="1"/>
    <xf numFmtId="165" fontId="3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/>
    <xf numFmtId="0" fontId="7" fillId="2" borderId="2" xfId="4"/>
    <xf numFmtId="0" fontId="7" fillId="3" borderId="2" xfId="4" applyFill="1"/>
    <xf numFmtId="165" fontId="7" fillId="3" borderId="2" xfId="4" applyNumberFormat="1" applyFill="1"/>
    <xf numFmtId="0" fontId="6" fillId="0" borderId="1" xfId="3"/>
    <xf numFmtId="14" fontId="6" fillId="0" borderId="1" xfId="3" applyNumberFormat="1"/>
    <xf numFmtId="44" fontId="6" fillId="0" borderId="1" xfId="3" applyNumberFormat="1"/>
    <xf numFmtId="14" fontId="0" fillId="0" borderId="0" xfId="0" applyNumberFormat="1"/>
    <xf numFmtId="0" fontId="9" fillId="4" borderId="3" xfId="0" applyFont="1" applyFill="1" applyBorder="1"/>
    <xf numFmtId="14" fontId="9" fillId="4" borderId="3" xfId="0" applyNumberFormat="1" applyFont="1" applyFill="1" applyBorder="1"/>
    <xf numFmtId="0" fontId="7" fillId="2" borderId="0" xfId="4" applyBorder="1"/>
    <xf numFmtId="0" fontId="7" fillId="5" borderId="0" xfId="5" applyBorder="1"/>
    <xf numFmtId="0" fontId="7" fillId="5" borderId="2" xfId="5"/>
    <xf numFmtId="44" fontId="7" fillId="5" borderId="2" xfId="5" applyNumberFormat="1"/>
    <xf numFmtId="44" fontId="7" fillId="5" borderId="0" xfId="5" applyNumberFormat="1" applyBorder="1"/>
    <xf numFmtId="44" fontId="7" fillId="2" borderId="0" xfId="4" applyNumberFormat="1" applyBorder="1"/>
    <xf numFmtId="0" fontId="0" fillId="0" borderId="0" xfId="0" applyAlignment="1">
      <alignment horizontal="center"/>
    </xf>
    <xf numFmtId="0" fontId="6" fillId="0" borderId="1" xfId="3" applyAlignment="1">
      <alignment horizontal="left"/>
    </xf>
    <xf numFmtId="0" fontId="5" fillId="0" borderId="0" xfId="2"/>
    <xf numFmtId="1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left"/>
    </xf>
    <xf numFmtId="164" fontId="10" fillId="6" borderId="4" xfId="6" applyNumberFormat="1"/>
    <xf numFmtId="9" fontId="10" fillId="6" borderId="4" xfId="6" applyNumberFormat="1"/>
    <xf numFmtId="10" fontId="10" fillId="6" borderId="4" xfId="6" applyNumberFormat="1"/>
    <xf numFmtId="1" fontId="10" fillId="6" borderId="4" xfId="6" applyNumberFormat="1"/>
    <xf numFmtId="6" fontId="10" fillId="6" borderId="4" xfId="6" applyNumberFormat="1"/>
    <xf numFmtId="10" fontId="11" fillId="0" borderId="0" xfId="7" applyNumberFormat="1"/>
    <xf numFmtId="14" fontId="10" fillId="6" borderId="4" xfId="6" applyNumberFormat="1"/>
    <xf numFmtId="0" fontId="10" fillId="6" borderId="4" xfId="6"/>
    <xf numFmtId="0" fontId="11" fillId="0" borderId="0" xfId="7"/>
    <xf numFmtId="44" fontId="10" fillId="6" borderId="4" xfId="6" applyNumberFormat="1"/>
    <xf numFmtId="14" fontId="5" fillId="0" borderId="0" xfId="2" applyNumberFormat="1"/>
    <xf numFmtId="0" fontId="7" fillId="2" borderId="2" xfId="4" applyAlignment="1"/>
    <xf numFmtId="0" fontId="12" fillId="0" borderId="0" xfId="8"/>
    <xf numFmtId="0" fontId="13" fillId="0" borderId="0" xfId="0" applyFont="1" applyAlignment="1">
      <alignment horizontal="justify" vertical="center"/>
    </xf>
    <xf numFmtId="165" fontId="5" fillId="0" borderId="0" xfId="2" applyNumberFormat="1" applyAlignment="1"/>
    <xf numFmtId="0" fontId="5" fillId="0" borderId="0" xfId="2" applyAlignment="1"/>
    <xf numFmtId="0" fontId="7" fillId="2" borderId="0" xfId="4" applyBorder="1" applyAlignment="1">
      <alignment horizontal="left"/>
    </xf>
    <xf numFmtId="0" fontId="1" fillId="0" borderId="0" xfId="0" applyFont="1" applyAlignment="1">
      <alignment horizontal="left"/>
    </xf>
    <xf numFmtId="165" fontId="0" fillId="0" borderId="0" xfId="9" applyNumberFormat="1" applyFont="1"/>
  </cellXfs>
  <cellStyles count="10">
    <cellStyle name="Eingabe" xfId="6" builtinId="20"/>
    <cellStyle name="Erklärender Text" xfId="7" builtinId="53"/>
    <cellStyle name="Link" xfId="8" builtinId="8"/>
    <cellStyle name="Prozent" xfId="1" builtinId="5"/>
    <cellStyle name="Standard" xfId="0" builtinId="0"/>
    <cellStyle name="Überschrift" xfId="2" builtinId="15"/>
    <cellStyle name="Überschrift 1" xfId="3" builtinId="16"/>
    <cellStyle name="Überschrift 2" xfId="4" builtinId="17" customBuiltin="1"/>
    <cellStyle name="Überschrift 2 - negativ" xfId="5" xr:uid="{28C52B9F-3DD2-4D68-A73B-76C39D9D2E27}"/>
    <cellStyle name="Währung" xfId="9" builtinId="4"/>
  </cellStyles>
  <dxfs count="405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/>
      </font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numFmt numFmtId="165" formatCode="_-* #,##0.00\ [$€-407]_-;\-* #,##0.00\ [$€-407]_-;_-* &quot;-&quot;??\ [$€-407]_-;_-@_-"/>
    </dxf>
    <dxf>
      <border outline="0">
        <top style="thick">
          <color theme="4" tint="0.499984740745262"/>
        </top>
      </border>
    </dxf>
    <dxf>
      <numFmt numFmtId="165" formatCode="_-* #,##0.00\ [$€-407]_-;\-* #,##0.00\ [$€-407]_-;_-* &quot;-&quot;??\ [$€-407]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0B-497C-BAF5-0A26A6AC2B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0B-497C-BAF5-0A26A6AC2B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0B-497C-BAF5-0A26A6AC2B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0B-497C-BAF5-0A26A6AC2B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0B-497C-BAF5-0A26A6AC2B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0B-497C-BAF5-0A26A6AC2B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Vermögensüberblick!$A$21:$A$29</c:f>
              <c:strCache>
                <c:ptCount val="9"/>
                <c:pt idx="0">
                  <c:v>Liquidität</c:v>
                </c:pt>
                <c:pt idx="1">
                  <c:v>Geldmarkt</c:v>
                </c:pt>
                <c:pt idx="2">
                  <c:v>Börse</c:v>
                </c:pt>
                <c:pt idx="3">
                  <c:v>Rohstoffe</c:v>
                </c:pt>
                <c:pt idx="4">
                  <c:v>Immobilien</c:v>
                </c:pt>
                <c:pt idx="5">
                  <c:v>Kryptowährungen</c:v>
                </c:pt>
                <c:pt idx="6">
                  <c:v>Sonstiges</c:v>
                </c:pt>
                <c:pt idx="7">
                  <c:v>Verträge</c:v>
                </c:pt>
                <c:pt idx="8">
                  <c:v>Güter</c:v>
                </c:pt>
              </c:strCache>
            </c:strRef>
          </c:cat>
          <c:val>
            <c:numRef>
              <c:f>Vermögensüberblick!$B$21:$B$29</c:f>
              <c:numCache>
                <c:formatCode>_-* #,##0.00\ [$€-407]_-;\-* #,##0.00\ [$€-407]_-;_-* "-"??\ [$€-407]_-;_-@_-</c:formatCode>
                <c:ptCount val="9"/>
                <c:pt idx="0">
                  <c:v>2600</c:v>
                </c:pt>
                <c:pt idx="1">
                  <c:v>0</c:v>
                </c:pt>
                <c:pt idx="2">
                  <c:v>1000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E-4B57-B226-5020AF64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FDC-4EB6-BE21-DC0539E549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DC-4EB6-BE21-DC0539E549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FDC-4EB6-BE21-DC0539E549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FDC-4EB6-BE21-DC0539E549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DC-4EB6-BE21-DC0539E549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FDC-4EB6-BE21-DC0539E549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Vermögensüberblick!$A$21:$A$29</c:f>
              <c:strCache>
                <c:ptCount val="9"/>
                <c:pt idx="0">
                  <c:v>Liquidität</c:v>
                </c:pt>
                <c:pt idx="1">
                  <c:v>Geldmarkt</c:v>
                </c:pt>
                <c:pt idx="2">
                  <c:v>Börse</c:v>
                </c:pt>
                <c:pt idx="3">
                  <c:v>Rohstoffe</c:v>
                </c:pt>
                <c:pt idx="4">
                  <c:v>Immobilien</c:v>
                </c:pt>
                <c:pt idx="5">
                  <c:v>Kryptowährungen</c:v>
                </c:pt>
                <c:pt idx="6">
                  <c:v>Sonstiges</c:v>
                </c:pt>
                <c:pt idx="7">
                  <c:v>Verträge</c:v>
                </c:pt>
                <c:pt idx="8">
                  <c:v>Güter</c:v>
                </c:pt>
              </c:strCache>
            </c:strRef>
          </c:cat>
          <c:val>
            <c:numRef>
              <c:f>Vermögensüberblick!$D$21:$D$29</c:f>
              <c:numCache>
                <c:formatCode>_-* #,##0.00\ [$€-407]_-;\-* #,##0.00\ [$€-407]_-;_-* "-"??\ [$€-407]_-;_-@_-</c:formatCode>
                <c:ptCount val="9"/>
                <c:pt idx="0">
                  <c:v>2600</c:v>
                </c:pt>
                <c:pt idx="1">
                  <c:v>0</c:v>
                </c:pt>
                <c:pt idx="2">
                  <c:v>1000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DC-4EB6-BE21-DC0539E5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Anlageklassenverlauf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Vermögensüberblick!$A$4</c:f>
              <c:strCache>
                <c:ptCount val="1"/>
                <c:pt idx="0">
                  <c:v>Liquidität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Vermögensüberblick!$C$3:$L$3</c:f>
              <c:numCache>
                <c:formatCode>m/d/yyyy</c:formatCode>
                <c:ptCount val="10"/>
                <c:pt idx="0">
                  <c:v>45962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  <c:pt idx="6">
                  <c:v>47848</c:v>
                </c:pt>
                <c:pt idx="7">
                  <c:v>48213</c:v>
                </c:pt>
                <c:pt idx="8">
                  <c:v>48579</c:v>
                </c:pt>
                <c:pt idx="9">
                  <c:v>48944</c:v>
                </c:pt>
              </c:numCache>
            </c:numRef>
          </c:cat>
          <c:val>
            <c:numRef>
              <c:f>Vermögensüberblick!$C$4:$L$4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2-4047-8001-6F5B026ACF82}"/>
            </c:ext>
          </c:extLst>
        </c:ser>
        <c:ser>
          <c:idx val="1"/>
          <c:order val="1"/>
          <c:tx>
            <c:strRef>
              <c:f>Vermögensüberblick!$A$5</c:f>
              <c:strCache>
                <c:ptCount val="1"/>
                <c:pt idx="0">
                  <c:v>Geldmarkt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Vermögensüberblick!$C$5:$L$5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2-4047-8001-6F5B026ACF82}"/>
            </c:ext>
          </c:extLst>
        </c:ser>
        <c:ser>
          <c:idx val="2"/>
          <c:order val="2"/>
          <c:tx>
            <c:strRef>
              <c:f>Vermögensüberblick!$A$6</c:f>
              <c:strCache>
                <c:ptCount val="1"/>
                <c:pt idx="0">
                  <c:v>Börse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Vermögensüberblick!$C$6:$L$6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62-4047-8001-6F5B026ACF82}"/>
            </c:ext>
          </c:extLst>
        </c:ser>
        <c:ser>
          <c:idx val="3"/>
          <c:order val="3"/>
          <c:tx>
            <c:strRef>
              <c:f>Vermögensüberblick!$A$7</c:f>
              <c:strCache>
                <c:ptCount val="1"/>
                <c:pt idx="0">
                  <c:v>Rohstoffe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Vermögensüberblick!$C$7:$L$7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62-4047-8001-6F5B026ACF82}"/>
            </c:ext>
          </c:extLst>
        </c:ser>
        <c:ser>
          <c:idx val="4"/>
          <c:order val="4"/>
          <c:tx>
            <c:strRef>
              <c:f>Vermögensüberblick!$A$8</c:f>
              <c:strCache>
                <c:ptCount val="1"/>
                <c:pt idx="0">
                  <c:v>Immobilien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Vermögensüberblick!$C$8:$L$8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62-4047-8001-6F5B026ACF82}"/>
            </c:ext>
          </c:extLst>
        </c:ser>
        <c:ser>
          <c:idx val="5"/>
          <c:order val="5"/>
          <c:tx>
            <c:strRef>
              <c:f>Vermögensüberblick!$A$9</c:f>
              <c:strCache>
                <c:ptCount val="1"/>
                <c:pt idx="0">
                  <c:v>Kryptowährungen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Vermögensüberblick!$C$9:$L$9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62-4047-8001-6F5B026ACF82}"/>
            </c:ext>
          </c:extLst>
        </c:ser>
        <c:ser>
          <c:idx val="7"/>
          <c:order val="6"/>
          <c:tx>
            <c:strRef>
              <c:f>Vermögensüberblick!$A$10</c:f>
              <c:strCache>
                <c:ptCount val="1"/>
                <c:pt idx="0">
                  <c:v>Sonstiges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Vermögensüberblick!$C$10:$L$10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6-4228-B424-B39E21C5BA46}"/>
            </c:ext>
          </c:extLst>
        </c:ser>
        <c:ser>
          <c:idx val="8"/>
          <c:order val="7"/>
          <c:tx>
            <c:strRef>
              <c:f>Vermögensüberblick!$A$11</c:f>
              <c:strCache>
                <c:ptCount val="1"/>
                <c:pt idx="0">
                  <c:v>Verträge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Vermögensüberblick!$C$11:$L$11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6-4228-B424-B39E21C5BA46}"/>
            </c:ext>
          </c:extLst>
        </c:ser>
        <c:ser>
          <c:idx val="9"/>
          <c:order val="8"/>
          <c:tx>
            <c:strRef>
              <c:f>Vermögensüberblick!$A$12</c:f>
              <c:strCache>
                <c:ptCount val="1"/>
                <c:pt idx="0">
                  <c:v>Güter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Vermögensüberblick!$C$12:$L$12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6-4228-B424-B39E21C5BA46}"/>
            </c:ext>
          </c:extLst>
        </c:ser>
        <c:ser>
          <c:idx val="6"/>
          <c:order val="9"/>
          <c:tx>
            <c:strRef>
              <c:f>Vermögensüberblick!$A$13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Vermögensüberblick!$C$13:$L$13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62-4047-8001-6F5B026AC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95544"/>
        <c:axId val="973694824"/>
      </c:lineChart>
      <c:dateAx>
        <c:axId val="97369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94824"/>
        <c:crosses val="autoZero"/>
        <c:auto val="1"/>
        <c:lblOffset val="100"/>
        <c:baseTimeUnit val="months"/>
      </c:dateAx>
      <c:valAx>
        <c:axId val="97369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955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5</xdr:col>
      <xdr:colOff>609600</xdr:colOff>
      <xdr:row>55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C0E7B9A-69DA-64F6-2428-03F0DC799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967740</xdr:colOff>
      <xdr:row>40</xdr:row>
      <xdr:rowOff>15240</xdr:rowOff>
    </xdr:from>
    <xdr:to>
      <xdr:col>11</xdr:col>
      <xdr:colOff>426720</xdr:colOff>
      <xdr:row>55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6D7E551-7C94-425D-B1BF-48F7AD316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320040</xdr:colOff>
      <xdr:row>17</xdr:row>
      <xdr:rowOff>175260</xdr:rowOff>
    </xdr:from>
    <xdr:to>
      <xdr:col>11</xdr:col>
      <xdr:colOff>952500</xdr:colOff>
      <xdr:row>37</xdr:row>
      <xdr:rowOff>83820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2F4BB79-939F-F159-F7CD-F2B4C505E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6B4DC22-B084-48D3-8C4F-6CF8059D98F9}" name="Tbl_E1" displayName="Tbl_E1" ref="A7:M15" headerRowCount="0" totalsRowShown="0" tableBorderDxfId="404">
  <tableColumns count="13">
    <tableColumn id="1" xr3:uid="{01C7296D-C3F4-4769-82D3-79DDAC09BE8E}" name="Spalte1"/>
    <tableColumn id="2" xr3:uid="{63072231-6B07-412A-8C65-CE03E2223F3C}" name="Spalte2"/>
    <tableColumn id="3" xr3:uid="{FBCD6C85-85C1-4CD4-A59B-99FFE33C12DD}" name="Spalte3" dataDxfId="403"/>
    <tableColumn id="4" xr3:uid="{330F4ADA-946C-4928-9368-7A8C93AE630A}" name="Spalte4" dataDxfId="402"/>
    <tableColumn id="5" xr3:uid="{FF5FD78F-80E0-4C91-9308-C2F8EDA7CE42}" name="Spalte5" dataDxfId="401"/>
    <tableColumn id="6" xr3:uid="{7EE4A1CD-73E1-4D8B-BA8B-E32553BEE145}" name="Spalte6" dataDxfId="400"/>
    <tableColumn id="7" xr3:uid="{BDCA156E-CF7A-4568-ACCD-15FC076E322F}" name="Spalte7" dataDxfId="399"/>
    <tableColumn id="8" xr3:uid="{FACAF51D-1BBD-436D-89E5-5BDCA923D49A}" name="Spalte8" dataDxfId="398"/>
    <tableColumn id="9" xr3:uid="{9B462622-4AAC-4B80-8B36-8D324B548AB6}" name="Spalte9" dataDxfId="397"/>
    <tableColumn id="10" xr3:uid="{26062D42-489D-46F8-BD61-1BDAC799F9B1}" name="Spalte10" dataDxfId="396"/>
    <tableColumn id="11" xr3:uid="{834D7C47-7BBF-4E76-A385-AFDEC39FF202}" name="Spalte11" dataDxfId="395"/>
    <tableColumn id="12" xr3:uid="{FBF7D7B5-C786-4891-B95C-468B524AA596}" name="Spalte12" dataDxfId="394"/>
    <tableColumn id="13" xr3:uid="{69FA4583-12AD-4F2A-AB13-F7F8A882A7B6}" name="Spalte13" dataDxfId="39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9BFDD8-5BA5-4E74-827B-7FDEB4E8C8F6}" name="Tbl_Boerse" displayName="Tbl_Boerse" ref="A25:M29" headerRowCount="0" headerRowDxfId="267" totalsRowDxfId="265" tableBorderDxfId="266">
  <tableColumns count="13">
    <tableColumn id="2" xr3:uid="{8AF00476-1BBA-433A-A430-C81903D1F75B}" name="Spalte2" dataDxfId="264"/>
    <tableColumn id="3" xr3:uid="{9378D51D-957D-4667-A4F0-000DBA8B9CB2}" name="Spalte3" dataDxfId="263"/>
    <tableColumn id="4" xr3:uid="{15F12C3F-4F9A-437B-8440-C196795DB69C}" name="Spalte4" totalsRowFunction="sum" headerRowDxfId="262" dataDxfId="261"/>
    <tableColumn id="5" xr3:uid="{45E73690-1431-4BB5-8652-0ADEACB53222}" name="Spalte5" totalsRowFunction="sum" headerRowDxfId="260" dataDxfId="259"/>
    <tableColumn id="6" xr3:uid="{20ADC553-03F4-4B60-909A-C010748B1E4C}" name="Spalte6" totalsRowFunction="sum" headerRowDxfId="258" dataDxfId="257"/>
    <tableColumn id="7" xr3:uid="{CB6DCE95-5587-4425-B63B-AC6D729FDDBE}" name="Spalte7" totalsRowFunction="sum" headerRowDxfId="256" dataDxfId="255"/>
    <tableColumn id="8" xr3:uid="{98D7105E-2173-4A42-994E-F3188722BCD0}" name="Spalte8" totalsRowFunction="sum" dataDxfId="254"/>
    <tableColumn id="9" xr3:uid="{920E8266-EECE-4B2C-9F14-C07D363D1705}" name="Spalte9" totalsRowFunction="sum" dataDxfId="253"/>
    <tableColumn id="10" xr3:uid="{A4F4708C-D8CD-428F-B10B-2FCB0DCE9897}" name="Spalte10" totalsRowFunction="sum" dataDxfId="252"/>
    <tableColumn id="11" xr3:uid="{C6B9F772-D885-4210-A0CF-ACAC5D9A03E3}" name="Spalte11" totalsRowFunction="sum" dataDxfId="251"/>
    <tableColumn id="12" xr3:uid="{E3DC51A3-945F-404F-AC62-7720CCE23FF6}" name="Spalte12" totalsRowFunction="sum" dataDxfId="250"/>
    <tableColumn id="13" xr3:uid="{CAF1EFC1-1897-4519-9BCF-EFE883AD7DF6}" name="Spalte13" totalsRowFunction="sum" dataDxfId="249"/>
    <tableColumn id="14" xr3:uid="{19105D12-7FDA-43D9-A758-456086C9EFB3}" name="Spalte14" totalsRowFunction="sum" dataDxfId="2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EDBCD4E-7C37-4D45-8875-927DFF3D6687}" name="Tbl_Rohstoffe" displayName="Tbl_Rohstoffe" ref="A33:M37" headerRowCount="0" headerRowDxfId="247" dataDxfId="246" tableBorderDxfId="245">
  <tableColumns count="13">
    <tableColumn id="2" xr3:uid="{53E3C78D-36CC-41E7-8707-52904B46712C}" name="Spalte2" headerRowDxfId="244" dataDxfId="243"/>
    <tableColumn id="3" xr3:uid="{49A639D0-82F0-4F71-A846-2DEB6A61C5A8}" name="Spalte3" headerRowDxfId="242" dataDxfId="241"/>
    <tableColumn id="4" xr3:uid="{33695239-7A25-4D66-80A9-AE42AB379C14}" name="Spalte4" totalsRowFunction="sum" headerRowDxfId="240" dataDxfId="239" totalsRowDxfId="238"/>
    <tableColumn id="5" xr3:uid="{A69253F3-89A5-4998-BFD0-3D35C08740E0}" name="Spalte5" totalsRowFunction="sum" headerRowDxfId="237" dataDxfId="236" totalsRowDxfId="235"/>
    <tableColumn id="6" xr3:uid="{BA917563-745C-4285-A923-410DA1B45C49}" name="Spalte6" totalsRowFunction="sum" headerRowDxfId="234" dataDxfId="233" totalsRowDxfId="232"/>
    <tableColumn id="7" xr3:uid="{F39328AC-AAA5-4EBF-B501-76BA21C50160}" name="Spalte7" totalsRowFunction="sum" headerRowDxfId="231" dataDxfId="230" totalsRowDxfId="229"/>
    <tableColumn id="8" xr3:uid="{A7288DD7-A6D8-4414-872B-FA6E780795E2}" name="Spalte8" totalsRowFunction="sum" headerRowDxfId="228" dataDxfId="227" totalsRowDxfId="226"/>
    <tableColumn id="9" xr3:uid="{E3632CA4-2848-47E7-ADE8-095E2107032C}" name="Spalte9" totalsRowFunction="sum" headerRowDxfId="225" dataDxfId="224" totalsRowDxfId="223"/>
    <tableColumn id="10" xr3:uid="{AFD8A528-B4A1-4BEC-B1FA-6F70F75796B6}" name="Spalte10" totalsRowFunction="sum" headerRowDxfId="222" dataDxfId="221" totalsRowDxfId="220"/>
    <tableColumn id="11" xr3:uid="{C3072C1E-BB8E-4787-BD34-8658435EE0AA}" name="Spalte11" totalsRowFunction="sum" headerRowDxfId="219" dataDxfId="218" totalsRowDxfId="217"/>
    <tableColumn id="12" xr3:uid="{5F6C5C36-3A38-4CF1-9978-B9003500069E}" name="Spalte12" totalsRowFunction="sum" headerRowDxfId="216" dataDxfId="215" totalsRowDxfId="214"/>
    <tableColumn id="13" xr3:uid="{A10D3DA6-14AE-4023-B342-89977E86ABDE}" name="Spalte13" totalsRowFunction="sum" headerRowDxfId="213" dataDxfId="212" totalsRowDxfId="211"/>
    <tableColumn id="14" xr3:uid="{EA040E25-7E74-41C0-B35D-5F503866C58B}" name="Spalte14" totalsRowFunction="sum" headerRowDxfId="210" dataDxfId="209" totalsRowDxfId="20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22DBD-DAFD-430F-8D45-99F0783497E9}" name="Tbl_Immobilien" displayName="Tbl_Immobilien" ref="A41:M45" headerRowCount="0" headerRowDxfId="207" tableBorderDxfId="206">
  <tableColumns count="13">
    <tableColumn id="2" xr3:uid="{2A9D0CDD-618F-44BD-8352-C17C272AB7F7}" name="Spalte2" headerRowDxfId="205" dataDxfId="204"/>
    <tableColumn id="3" xr3:uid="{8E4804F1-759E-42E3-86EA-879FD4DE1E52}" name="Spalte3" headerRowDxfId="203" dataDxfId="202"/>
    <tableColumn id="4" xr3:uid="{E27E332C-6E4B-419B-92C4-3787A318378F}" name="Spalte4" headerRowDxfId="201" dataDxfId="200"/>
    <tableColumn id="5" xr3:uid="{930654A1-4F21-484F-A445-1E3F6117D83B}" name="Spalte5" headerRowDxfId="199" dataDxfId="198"/>
    <tableColumn id="6" xr3:uid="{E0507785-F806-43E9-9E8A-BE99E3192F9E}" name="Spalte6" headerRowDxfId="197" dataDxfId="196"/>
    <tableColumn id="7" xr3:uid="{16A1C1FF-B44E-47E5-8C93-42B658F5D9CC}" name="Spalte7" headerRowDxfId="195" dataDxfId="194"/>
    <tableColumn id="8" xr3:uid="{AC8CA30A-4F96-4894-A051-677465BAAE91}" name="Spalte8" headerRowDxfId="193" dataDxfId="192" totalsRowDxfId="191"/>
    <tableColumn id="9" xr3:uid="{BD1BCFB6-7B4A-4CE0-8E2E-F16DA36515F5}" name="Spalte9" headerRowDxfId="190" dataDxfId="189" totalsRowDxfId="188"/>
    <tableColumn id="10" xr3:uid="{5990FE3B-CF3A-476B-AC20-4E0CA0F65C32}" name="Spalte10" headerRowDxfId="187" dataDxfId="186" totalsRowDxfId="185"/>
    <tableColumn id="11" xr3:uid="{13FE2D34-7185-4BBB-A814-CED3236919D0}" name="Spalte11" headerRowDxfId="184" dataDxfId="183"/>
    <tableColumn id="12" xr3:uid="{EE46E5FC-8394-4341-A32B-A710A448D3CC}" name="Spalte12" headerRowDxfId="182" dataDxfId="181"/>
    <tableColumn id="13" xr3:uid="{372F4C4D-568B-4661-B6A2-30B7963E0173}" name="Spalte13" headerRowDxfId="180" dataDxfId="179"/>
    <tableColumn id="14" xr3:uid="{FF705161-4463-4B78-8B15-0DCEF5132A7D}" name="Spalte14" headerRowDxfId="178" dataDxfId="17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C78568-D45F-43F2-9824-8CBA1D310E6A}" name="Tbl_Sonstiges" displayName="Tbl_Sonstiges" ref="A49:M53" headerRowCount="0" headerRowDxfId="176" tableBorderDxfId="175">
  <tableColumns count="13">
    <tableColumn id="2" xr3:uid="{C346BCB1-3276-444B-9C36-674206105FCA}" name="Spalte2" headerRowDxfId="174" dataDxfId="173"/>
    <tableColumn id="3" xr3:uid="{98DCD3FA-7384-4E51-B9C1-FDD1CE716517}" name="Spalte3" headerRowDxfId="172" dataDxfId="171"/>
    <tableColumn id="4" xr3:uid="{3D1D59EA-7DF1-4FE3-86D4-ED47BBBFBEEA}" name="Spalte4" headerRowDxfId="170" dataDxfId="169"/>
    <tableColumn id="5" xr3:uid="{220D2F7C-5A33-4E65-8BA3-80D396B62CCB}" name="Spalte5" headerRowDxfId="168" dataDxfId="167"/>
    <tableColumn id="6" xr3:uid="{0583A7FB-F8E9-4375-8268-F5192ACC3323}" name="Spalte6" headerRowDxfId="166" dataDxfId="165"/>
    <tableColumn id="7" xr3:uid="{F48EE128-1CAB-4EA0-8A0A-F357AF3CECFE}" name="Spalte7" headerRowDxfId="164" dataDxfId="163"/>
    <tableColumn id="8" xr3:uid="{29D458F8-031F-46FB-A1E8-8D06CFEE7CEB}" name="Spalte8" headerRowDxfId="162" dataDxfId="161"/>
    <tableColumn id="9" xr3:uid="{85C15F30-1C6B-403F-9313-6DFA9E7D82CB}" name="Spalte9" headerRowDxfId="160" dataDxfId="159"/>
    <tableColumn id="10" xr3:uid="{9EC51BEB-2EFC-4591-A01D-6C6803A61056}" name="Spalte10" headerRowDxfId="158" dataDxfId="157"/>
    <tableColumn id="11" xr3:uid="{9D2BE0D9-EDAE-46E1-8131-0E48EF01CB21}" name="Spalte11" headerRowDxfId="156" dataDxfId="155"/>
    <tableColumn id="12" xr3:uid="{28EA1ADA-2E7A-429D-928D-4FDFD18782B1}" name="Spalte12" headerRowDxfId="154" dataDxfId="153"/>
    <tableColumn id="13" xr3:uid="{29E07E40-04CD-489D-84FD-4856A394C6FA}" name="Spalte13" headerRowDxfId="152" dataDxfId="151"/>
    <tableColumn id="14" xr3:uid="{265AFEE6-71AF-4327-BB03-5CE06CCE03D6}" name="Spalte14" headerRowDxfId="150" dataDxfId="14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815BB6-29BA-4C06-938E-1E9AD16259B3}" name="Tbl_Vertraege" displayName="Tbl_Vertraege" ref="A66:M70" headerRowCount="0" headerRowDxfId="148" tableBorderDxfId="147">
  <tableColumns count="13">
    <tableColumn id="2" xr3:uid="{262CC5D0-28DE-4432-A149-857E0A453450}" name="Spalte2" headerRowDxfId="146" dataDxfId="145"/>
    <tableColumn id="3" xr3:uid="{C2FBF0DD-DED4-44AF-AED2-4EA3167E6FB3}" name="Spalte3" headerRowDxfId="144" dataDxfId="143"/>
    <tableColumn id="4" xr3:uid="{96BDC832-1D2F-44E9-9CF7-A8C76CAF715F}" name="Spalte4" headerRowDxfId="142" dataDxfId="141"/>
    <tableColumn id="5" xr3:uid="{7EA5CF30-8008-43D1-A400-79209ABB2BCF}" name="Spalte5" headerRowDxfId="140" dataDxfId="139"/>
    <tableColumn id="6" xr3:uid="{7D9B28F4-1BF9-4C6A-A321-CD75FF8B84A1}" name="Spalte6" headerRowDxfId="138" dataDxfId="137"/>
    <tableColumn id="7" xr3:uid="{129AA30E-EBD0-4C43-84D1-72C07E8B9D42}" name="Spalte7" headerRowDxfId="136" dataDxfId="135"/>
    <tableColumn id="8" xr3:uid="{33805E22-1E30-484B-86AC-47FA36CE39FF}" name="Spalte8" headerRowDxfId="134" dataDxfId="133"/>
    <tableColumn id="9" xr3:uid="{5F786E01-5583-429A-9021-C7774F4D91F0}" name="Spalte9" headerRowDxfId="132" dataDxfId="131"/>
    <tableColumn id="10" xr3:uid="{52F9EEE9-024B-4ACC-8990-B73BC6C45CF7}" name="Spalte10" headerRowDxfId="130" dataDxfId="129"/>
    <tableColumn id="11" xr3:uid="{167697D0-9C03-43EF-86C5-ACCFBBDCBE2C}" name="Spalte11" headerRowDxfId="128" dataDxfId="127"/>
    <tableColumn id="12" xr3:uid="{BAAAD03E-0FB5-4B45-8C79-6E1EFD537069}" name="Spalte12" headerRowDxfId="126" dataDxfId="125"/>
    <tableColumn id="13" xr3:uid="{3802D03B-F2C3-4518-B1A5-AA1B1025A6E6}" name="Spalte13" headerRowDxfId="124" dataDxfId="123"/>
    <tableColumn id="14" xr3:uid="{28B4B887-EBE4-4FC5-BB83-1EBD248BC14C}" name="Spalte14" headerRowDxfId="122" dataDxfId="1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11836A-A489-49C1-BA51-7E8F84535797}" name="Tbl_Gueter" displayName="Tbl_Gueter" ref="A74:M78" headerRowCount="0" headerRowDxfId="120" dataDxfId="119" tableBorderDxfId="118">
  <tableColumns count="13">
    <tableColumn id="2" xr3:uid="{691614B4-3FFE-4BF7-85D2-EFBA1B79C197}" name="Spalte2" headerRowDxfId="117" dataDxfId="116"/>
    <tableColumn id="3" xr3:uid="{53FBA9C3-0B06-406F-BC66-AAB7BD3D520C}" name="Spalte3" headerRowDxfId="115" dataDxfId="114"/>
    <tableColumn id="4" xr3:uid="{56F635A1-4320-4B8B-BEC2-3B17432F29F0}" name="Spalte4" headerRowDxfId="113" dataDxfId="112"/>
    <tableColumn id="5" xr3:uid="{1C2CACCD-A239-4BD8-9E7C-5C23A4447C27}" name="Spalte5" headerRowDxfId="111" dataDxfId="110"/>
    <tableColumn id="6" xr3:uid="{AA89DF65-52A5-4B0E-968D-868C9DFB6333}" name="Spalte6" headerRowDxfId="109" dataDxfId="108"/>
    <tableColumn id="7" xr3:uid="{2DEE417A-9394-40B8-B638-DD813EB87E06}" name="Spalte7" headerRowDxfId="107" dataDxfId="106"/>
    <tableColumn id="8" xr3:uid="{DDB5CEBE-DB69-4280-80AC-404BFA279474}" name="Spalte8" headerRowDxfId="105" dataDxfId="104"/>
    <tableColumn id="9" xr3:uid="{12DCA35F-71E3-4CB7-8689-86990F34DA26}" name="Spalte9" headerRowDxfId="103" dataDxfId="102"/>
    <tableColumn id="10" xr3:uid="{C405B473-36D7-404D-9603-C86F70D293A1}" name="Spalte10" headerRowDxfId="101" dataDxfId="100"/>
    <tableColumn id="11" xr3:uid="{F8832276-EFF7-4066-87A6-B964B4411E74}" name="Spalte11" headerRowDxfId="99" dataDxfId="98" totalsRowDxfId="97"/>
    <tableColumn id="12" xr3:uid="{DD3EF6BE-2DD1-478F-A8B1-A49280FA2D4B}" name="Spalte12" headerRowDxfId="96" dataDxfId="95" totalsRowDxfId="94"/>
    <tableColumn id="13" xr3:uid="{4488381D-F758-4165-BC0A-C0C33177F7E9}" name="Spalte13" headerRowDxfId="93" dataDxfId="92" totalsRowDxfId="91"/>
    <tableColumn id="14" xr3:uid="{1EFA63B1-5D5D-47DC-9045-9F618A62D95D}" name="Spalte14" headerRowDxfId="90" dataDxfId="89" totalsRowDxfId="8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E48A4CB-0D68-4CAB-B22A-DB6C4D5B7E74}" name="Tbl_Verbindlichkeiten" displayName="Tbl_Verbindlichkeiten" ref="A82:M86" headerRowCount="0" headerRowDxfId="87" tableBorderDxfId="86">
  <tableColumns count="13">
    <tableColumn id="2" xr3:uid="{A96FAADA-996B-45BE-944A-6CCF46B2BBC7}" name="Spalte2" headerRowDxfId="85" dataDxfId="84"/>
    <tableColumn id="3" xr3:uid="{29D0600A-D12F-4F2A-95CA-F42A36209D7D}" name="Spalte3" headerRowDxfId="83" dataDxfId="82"/>
    <tableColumn id="4" xr3:uid="{7387DEA6-937B-4306-A039-605B2AD650A6}" name="Spalte4" headerRowDxfId="81" dataDxfId="80"/>
    <tableColumn id="5" xr3:uid="{79554624-9216-48F2-B9F1-1650320327AE}" name="Spalte5" headerRowDxfId="79" dataDxfId="78"/>
    <tableColumn id="6" xr3:uid="{B5D4C0EE-7A6B-4C07-B4AD-EF48F06A9774}" name="Spalte6" headerRowDxfId="77" dataDxfId="76"/>
    <tableColumn id="7" xr3:uid="{17BBD91A-FE96-42FF-B543-B117A3A2A946}" name="Spalte7" headerRowDxfId="75" dataDxfId="74"/>
    <tableColumn id="8" xr3:uid="{A5F2C720-42DA-416E-9CAA-363A74F0DD2F}" name="Spalte8" headerRowDxfId="73" dataDxfId="72"/>
    <tableColumn id="9" xr3:uid="{D0FB0E0F-D7EC-4839-BD4B-5F97677206AE}" name="Spalte9" headerRowDxfId="71" dataDxfId="70"/>
    <tableColumn id="10" xr3:uid="{485E249F-38B1-40A4-A3D1-2835774B9183}" name="Spalte10" headerRowDxfId="69" dataDxfId="68"/>
    <tableColumn id="11" xr3:uid="{CF1A92BF-8DDB-4897-975F-B0E75393260F}" name="Spalte11" headerRowDxfId="67" dataDxfId="66"/>
    <tableColumn id="12" xr3:uid="{730DE3C1-45F6-474E-8135-7CA5CB25DA39}" name="Spalte12" headerRowDxfId="65" dataDxfId="64"/>
    <tableColumn id="13" xr3:uid="{675B4771-5F7E-49CE-B396-13B268D5D893}" name="Spalte13" headerRowDxfId="63" dataDxfId="62"/>
    <tableColumn id="14" xr3:uid="{7C2FCA51-876B-4994-BA69-ABB09E0E2D74}" name="Spalte14" headerRowDxfId="61" dataDxfId="60"/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EC5876E-8DD1-4E62-BBA9-EB4915C36A24}" name="Tbl_Sonstiges20" displayName="Tbl_Sonstiges20" ref="A57:M61" headerRowCount="0" headerRowDxfId="59" tableBorderDxfId="58">
  <tableColumns count="13">
    <tableColumn id="2" xr3:uid="{A6EDE7A4-E56D-4EA5-85FF-521CE4AFB5A4}" name="Spalte2" headerRowDxfId="57" dataDxfId="56"/>
    <tableColumn id="3" xr3:uid="{C0E92D1E-251E-42B6-AF41-F75BC38706D7}" name="Spalte3" headerRowDxfId="55" dataDxfId="54"/>
    <tableColumn id="4" xr3:uid="{B40DA5A4-BEB1-4E7B-9199-C5CAEE428964}" name="Spalte4" headerRowDxfId="53" dataDxfId="52"/>
    <tableColumn id="5" xr3:uid="{45341C81-B3C1-44A6-908E-29E41B880BC4}" name="Spalte5" headerRowDxfId="51" dataDxfId="50"/>
    <tableColumn id="6" xr3:uid="{3F036676-A33F-43AB-8515-253B46C3E405}" name="Spalte6" headerRowDxfId="49" dataDxfId="48"/>
    <tableColumn id="7" xr3:uid="{1E588FD4-5C3B-496A-B011-190E49A403D7}" name="Spalte7" headerRowDxfId="47" dataDxfId="46"/>
    <tableColumn id="8" xr3:uid="{FABD10EA-91DE-419D-91A5-E72064E59D8C}" name="Spalte8" headerRowDxfId="45" dataDxfId="44"/>
    <tableColumn id="9" xr3:uid="{6F54566A-0FC3-413D-A06D-B4CB18FF5AA7}" name="Spalte9" headerRowDxfId="43" dataDxfId="42"/>
    <tableColumn id="10" xr3:uid="{5FB79EB8-AB2C-467B-8B2E-14F7D579A89B}" name="Spalte10" headerRowDxfId="41" dataDxfId="40"/>
    <tableColumn id="11" xr3:uid="{4812748A-64F6-49D4-B586-38496CEC92FA}" name="Spalte11" headerRowDxfId="39" dataDxfId="38"/>
    <tableColumn id="12" xr3:uid="{14B20878-E3BA-49E9-AA7A-820EC5AC4692}" name="Spalte12" headerRowDxfId="37" dataDxfId="36"/>
    <tableColumn id="13" xr3:uid="{4B9E5269-44C7-4B11-93D4-058C997AFC33}" name="Spalte13" headerRowDxfId="35" dataDxfId="34"/>
    <tableColumn id="14" xr3:uid="{9A2506C2-18F3-4A18-B335-95C66A389B82}" name="Spalte14" headerRowDxfId="33" dataDxfId="3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4CF76A-F171-4205-88CF-42F40E1CC92D}" name="Ueberblick" displayName="Ueberblick" ref="A4:L13" headerRowCount="0" totalsRowCount="1">
  <tableColumns count="12">
    <tableColumn id="1" xr3:uid="{492257FF-DCE4-4CA7-8FB2-5700108A59F3}" name="Spalte1" totalsRowLabel="SUMME"/>
    <tableColumn id="2" xr3:uid="{822BEC78-7635-4B3A-846E-91306A2826CA}" name="Spalte2" totalsRowFunction="sum" dataDxfId="21" totalsRowDxfId="10"/>
    <tableColumn id="3" xr3:uid="{04AAF47D-9A1C-4E1E-97C4-255D16EF7856}" name="Spalte3" totalsRowFunction="sum" dataDxfId="20" totalsRowDxfId="9"/>
    <tableColumn id="4" xr3:uid="{37BBE3EF-DC9D-4975-9AA7-EC3DDD85CD76}" name="Spalte4" totalsRowFunction="sum" dataDxfId="19" totalsRowDxfId="8"/>
    <tableColumn id="5" xr3:uid="{02334F5C-A9ED-492A-BE72-EFFF977ECBD5}" name="Spalte5" totalsRowFunction="sum" dataDxfId="18" totalsRowDxfId="7"/>
    <tableColumn id="6" xr3:uid="{CD2EF77D-92B7-4562-9E8B-20EC9F431927}" name="Spalte6" totalsRowFunction="sum" dataDxfId="17" totalsRowDxfId="6"/>
    <tableColumn id="7" xr3:uid="{C3F4C9BF-5C96-436C-9521-4561F22D39B2}" name="Spalte7" totalsRowFunction="sum" dataDxfId="16" totalsRowDxfId="5"/>
    <tableColumn id="8" xr3:uid="{4BB04FD6-E1D3-4ED7-85A7-5A8C5B2585B1}" name="Spalte8" totalsRowFunction="sum" dataDxfId="15" totalsRowDxfId="4"/>
    <tableColumn id="9" xr3:uid="{97AF59ED-5CFA-4A8D-A8D4-359151C0DB13}" name="Spalte9" totalsRowFunction="sum" dataDxfId="14" totalsRowDxfId="3"/>
    <tableColumn id="10" xr3:uid="{16DD4626-FBE5-409C-B707-B0FB2B059A9B}" name="Spalte10" totalsRowFunction="sum" dataDxfId="13" totalsRowDxfId="2"/>
    <tableColumn id="11" xr3:uid="{B8A03A1E-B3E8-4697-A435-7203B166D9CB}" name="Spalte11" totalsRowFunction="sum" dataDxfId="12" totalsRowDxfId="1"/>
    <tableColumn id="12" xr3:uid="{94130B90-34FB-4510-BF2B-CD27F2594FD1}" name="Spalte12" totalsRowFunction="sum" dataDxfId="11" totalsRowDxfId="0"/>
  </tableColumns>
  <tableStyleInfo name="TableStyleMedium16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810BB0F-6526-4D60-8D0D-5C103B716AEE}" name="Tabelle18" displayName="Tabelle18" ref="A9:H89" totalsRowShown="0" headerRowDxfId="31" dataDxfId="30" dataCellStyle="Prozent">
  <autoFilter ref="A9:H89" xr:uid="{4810BB0F-6526-4D60-8D0D-5C103B716AEE}"/>
  <tableColumns count="8">
    <tableColumn id="1" xr3:uid="{569E131F-78CE-4F93-8F62-CB968BEEC2FC}" name="Stichtag" dataDxfId="29">
      <calculatedColumnFormula>EDATE(A9,12)</calculatedColumnFormula>
    </tableColumn>
    <tableColumn id="2" xr3:uid="{1733E3A8-E7C7-4620-AF35-A2C8A0984322}" name="Alter" dataDxfId="28">
      <calculatedColumnFormula>YEAR(A10)-Einstellungen!$B$5</calculatedColumnFormula>
    </tableColumn>
    <tableColumn id="3" xr3:uid="{9CA74260-97EE-4A09-B842-8C403A086D66}" name="Start-Vermögen" dataDxfId="27">
      <calculatedColumnFormula>H9</calculatedColumnFormula>
    </tableColumn>
    <tableColumn id="4" xr3:uid="{48C6ABA0-7612-4115-9F7A-1ECA533027FD}" name="Einzahlung/Auszahlungen" dataDxfId="26">
      <calculatedColumnFormula>IF(B10=$D$6,-12*$D$7,D9*(1+E9))</calculatedColumnFormula>
    </tableColumn>
    <tableColumn id="5" xr3:uid="{2C20D916-601B-40B0-8156-1D145A9FEC2E}" name="Ein-/Auszahlungserhöhung" dataDxfId="25" dataCellStyle="Prozent">
      <calculatedColumnFormula>$D$5</calculatedColumnFormula>
    </tableColumn>
    <tableColumn id="6" xr3:uid="{F4E4D5C7-41CD-4067-84EA-EA66B7E6AD62}" name="Rendite" dataDxfId="24" dataCellStyle="Prozent">
      <calculatedColumnFormula>$D$3</calculatedColumnFormula>
    </tableColumn>
    <tableColumn id="7" xr3:uid="{477ADC1F-9D79-4A12-BEF4-46D491AF9AA7}" name="Wertveränderung" dataDxfId="23" dataCellStyle="Prozent">
      <calculatedColumnFormula>C10*F10</calculatedColumnFormula>
    </tableColumn>
    <tableColumn id="8" xr3:uid="{080D11BD-6D6E-4433-B6C0-EB52FA7DB9EB}" name="End-Vermögen" dataDxfId="22">
      <calculatedColumnFormula>C10+F10*C10+D10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3779AC0-CFBB-414B-8F5D-AC6A22D3FA2C}" name="Tbl_A1" displayName="Tbl_A1" ref="A21:M30" headerRowCount="0" totalsRowShown="0" tableBorderDxfId="392">
  <tableColumns count="13">
    <tableColumn id="1" xr3:uid="{F4127181-DB97-422A-A925-1FC7197897E2}" name="Spalte1"/>
    <tableColumn id="2" xr3:uid="{2512EC2F-CCDB-4390-84BB-823FD5B6B5F9}" name="Spalte2"/>
    <tableColumn id="3" xr3:uid="{B1033DEF-6CAF-459A-837B-B4E9EE63A9A3}" name="Spalte3" dataDxfId="391"/>
    <tableColumn id="4" xr3:uid="{9F583005-05E8-4D47-8482-38958D5DAE7C}" name="Spalte4" dataDxfId="390"/>
    <tableColumn id="5" xr3:uid="{42C5481C-F754-435A-B2ED-0F97E0264927}" name="Spalte5" dataDxfId="389"/>
    <tableColumn id="6" xr3:uid="{454B2C8A-DF92-4912-964D-9008AA737818}" name="Spalte6" dataDxfId="388"/>
    <tableColumn id="7" xr3:uid="{550C7493-4368-47D4-86E1-673925DFA0EF}" name="Spalte7" dataDxfId="387"/>
    <tableColumn id="8" xr3:uid="{AB271741-F679-4EAE-990E-0CBD96F654DA}" name="Spalte8" dataDxfId="386"/>
    <tableColumn id="9" xr3:uid="{8B62390D-1CA9-4BCE-AAD7-D28F7F0DE88F}" name="Spalte9" dataDxfId="385"/>
    <tableColumn id="10" xr3:uid="{4D314DA1-C58E-408B-B8F5-CB4D12D24E0F}" name="Spalte10" dataDxfId="384"/>
    <tableColumn id="11" xr3:uid="{FB6B8BEB-6379-467B-9442-63CB89A38DB4}" name="Spalte11" dataDxfId="383"/>
    <tableColumn id="12" xr3:uid="{D13BE380-9B4C-482B-87DE-03FDCB471C8C}" name="Spalte12" dataDxfId="382"/>
    <tableColumn id="13" xr3:uid="{0D4F8269-B72E-4287-BF8C-63881AB20DA0}" name="Spalte13" dataDxfId="381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6C2C3C6-4A01-455C-92E1-A63994D35680}" name="Tbl_A2" displayName="Tbl_A2" ref="A34:M49" headerRowCount="0" totalsRowShown="0" tableBorderDxfId="380">
  <tableColumns count="13">
    <tableColumn id="1" xr3:uid="{4599DF8B-979A-47CF-A87A-2DBBD6C35CCD}" name="Spalte1"/>
    <tableColumn id="2" xr3:uid="{3DA6A3BD-2398-4B22-A05D-10EC27D90EC8}" name="Spalte2"/>
    <tableColumn id="3" xr3:uid="{15AD89C7-80D1-408E-8FFF-AF0A4C267572}" name="Spalte3" dataDxfId="379"/>
    <tableColumn id="4" xr3:uid="{EB3DDA03-5BBB-4085-BB6D-D3EC8C905EB9}" name="Spalte4" dataDxfId="378"/>
    <tableColumn id="5" xr3:uid="{7424FCDD-1C05-4371-AFD0-9CCBE6F2C5AE}" name="Spalte5" dataDxfId="377"/>
    <tableColumn id="6" xr3:uid="{F1E5242E-822E-4ECB-8BC2-6946763F60C6}" name="Spalte6" dataDxfId="376"/>
    <tableColumn id="7" xr3:uid="{B7700ED2-DE37-48A8-B140-B5746EC1CF16}" name="Spalte7" dataDxfId="375"/>
    <tableColumn id="8" xr3:uid="{34304A9C-536D-46ED-9600-921879FB1033}" name="Spalte8" dataDxfId="374"/>
    <tableColumn id="9" xr3:uid="{9ED5F7FA-26F0-4DCA-B22E-721ECC497ECD}" name="Spalte9" dataDxfId="373"/>
    <tableColumn id="10" xr3:uid="{B601E84B-021B-4534-A8F9-2A7AB0E1FDE8}" name="Spalte10" dataDxfId="372"/>
    <tableColumn id="11" xr3:uid="{3B982122-90AC-40D0-9292-5A4EC71F94E3}" name="Spalte11" dataDxfId="371"/>
    <tableColumn id="12" xr3:uid="{EDB4EA39-ABD3-4BFD-AF54-FA6AED13E81D}" name="Spalte12" dataDxfId="370"/>
    <tableColumn id="13" xr3:uid="{C660C268-D91D-45F3-8642-7F2664C1D803}" name="Spalte13" dataDxfId="369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9A9EDEF-DF05-420E-8A00-48D2D78B54A0}" name="Tbl_A3" displayName="Tbl_A3" ref="A53:M60" headerRowCount="0" totalsRowShown="0" tableBorderDxfId="368">
  <tableColumns count="13">
    <tableColumn id="1" xr3:uid="{9305BE3B-589A-4398-A60D-B93967B305FD}" name="Spalte1"/>
    <tableColumn id="2" xr3:uid="{9DDCF30E-D187-4C3C-98AB-568C24A41F6A}" name="Spalte2"/>
    <tableColumn id="3" xr3:uid="{84EF2DA3-9226-4522-A3B6-69DDF86CD36E}" name="Spalte3" dataDxfId="367"/>
    <tableColumn id="4" xr3:uid="{D80D693B-AC74-42DC-B7C5-2622214DA269}" name="Spalte4" dataDxfId="366"/>
    <tableColumn id="5" xr3:uid="{F9C2F433-7F87-479E-AB5C-DA847FF1E900}" name="Spalte5" dataDxfId="365"/>
    <tableColumn id="6" xr3:uid="{A86E5D54-F0DE-4762-9298-DDDEEF9A789C}" name="Spalte6" dataDxfId="364"/>
    <tableColumn id="7" xr3:uid="{E02E148C-E1DA-46A3-8313-C627F9F20B9C}" name="Spalte7" dataDxfId="363"/>
    <tableColumn id="8" xr3:uid="{3309B7D5-79C3-4CC7-8709-B50992B42FFD}" name="Spalte8" dataDxfId="362"/>
    <tableColumn id="9" xr3:uid="{F6AA08D2-4805-4255-98C4-549F568BDEB4}" name="Spalte9" dataDxfId="361"/>
    <tableColumn id="10" xr3:uid="{18F0A9BB-7521-4067-8601-00107D6A813A}" name="Spalte10" dataDxfId="360"/>
    <tableColumn id="11" xr3:uid="{0B4E1BC9-DCF4-4F09-B10D-9E98AE4982CE}" name="Spalte11" dataDxfId="359"/>
    <tableColumn id="12" xr3:uid="{94CA739D-797E-45EE-9FAB-167934049E60}" name="Spalte12" dataDxfId="358"/>
    <tableColumn id="13" xr3:uid="{8A8DF618-600E-4569-A233-94C4AFBB4ABD}" name="Spalte13" dataDxfId="35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986CA59-3C14-4014-BDAF-57ED46CE2E24}" name="Tbl_A4" displayName="Tbl_A4" ref="A64:M68" headerRowCount="0" totalsRowShown="0" tableBorderDxfId="356">
  <tableColumns count="13">
    <tableColumn id="1" xr3:uid="{79749CA1-B10E-454B-BB3E-27A93142EA49}" name="Spalte1"/>
    <tableColumn id="2" xr3:uid="{E87228D0-E1DF-4244-9DE5-D10940341064}" name="Spalte2"/>
    <tableColumn id="3" xr3:uid="{2A4523A0-048A-44A6-8C50-327E865822A0}" name="Spalte3" dataDxfId="355"/>
    <tableColumn id="4" xr3:uid="{07B4A8B9-0505-4F2F-B814-7E6ABDF46E0C}" name="Spalte4" dataDxfId="354"/>
    <tableColumn id="5" xr3:uid="{902495B6-73AD-4054-B0C6-1FE2F28633F3}" name="Spalte5" dataDxfId="353"/>
    <tableColumn id="6" xr3:uid="{7DDDA223-2EF4-4594-B51F-E90B9D2626F5}" name="Spalte6" dataDxfId="352"/>
    <tableColumn id="7" xr3:uid="{96C3A740-DF39-4BCC-8B51-27796C2EF127}" name="Spalte7" dataDxfId="351"/>
    <tableColumn id="8" xr3:uid="{950F0AD5-A69E-43C4-9707-1E822323DEB3}" name="Spalte8" dataDxfId="350"/>
    <tableColumn id="9" xr3:uid="{0547B414-6F80-4ABF-AB2F-7F74C31DB116}" name="Spalte9" dataDxfId="349"/>
    <tableColumn id="10" xr3:uid="{9CB09C13-530E-4DA3-9B20-959154DE4697}" name="Spalte10" dataDxfId="348"/>
    <tableColumn id="11" xr3:uid="{6C37D786-E7CA-4FF9-9E34-B4C130177A27}" name="Spalte11" dataDxfId="347"/>
    <tableColumn id="12" xr3:uid="{DAE6F362-D927-4881-B3ED-24CA64828DFE}" name="Spalte12" dataDxfId="346"/>
    <tableColumn id="13" xr3:uid="{0CFDDAED-B581-4050-B757-1D8C0E820D4E}" name="Spalte13" dataDxfId="345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4662F76-DBE8-4984-B0EE-F0CDD231F5C2}" name="Tbl_A6" displayName="Tbl_A6" ref="A88:M92" headerRowCount="0" totalsRowShown="0" tableBorderDxfId="344">
  <tableColumns count="13">
    <tableColumn id="1" xr3:uid="{B8C2CEF8-5938-40E2-BDC6-94E06AAA4AFD}" name="Spalte1"/>
    <tableColumn id="2" xr3:uid="{D633B7C1-E11E-417E-B21A-89C5F4E15945}" name="Spalte2"/>
    <tableColumn id="3" xr3:uid="{F93876D5-F3DA-49C5-91BA-7A9C431EA456}" name="Spalte3" dataDxfId="343"/>
    <tableColumn id="4" xr3:uid="{635EA1DA-8D99-4465-9D3C-F3BFCF75C314}" name="Spalte4" dataDxfId="342"/>
    <tableColumn id="5" xr3:uid="{972A58E9-0722-4B60-8289-4902B720E415}" name="Spalte5" dataDxfId="341"/>
    <tableColumn id="6" xr3:uid="{E9975681-8182-4107-BB40-5DDBC1408151}" name="Spalte6" dataDxfId="340"/>
    <tableColumn id="7" xr3:uid="{E2ABB857-6FF8-4F99-B8BA-FD1BEBE0FDE8}" name="Spalte7" dataDxfId="339"/>
    <tableColumn id="8" xr3:uid="{3DD1B7DD-C631-4713-842D-C98529C97129}" name="Spalte8" dataDxfId="338"/>
    <tableColumn id="9" xr3:uid="{5EDA44B6-07B8-40A7-A05A-3ABE7FF7725E}" name="Spalte9" dataDxfId="337"/>
    <tableColumn id="10" xr3:uid="{69379229-C835-4ECE-8558-FC31D1BFA9FF}" name="Spalte10" dataDxfId="336"/>
    <tableColumn id="11" xr3:uid="{61E2A723-1DFA-41C6-9436-B4F874C9CC92}" name="Spalte11" dataDxfId="335"/>
    <tableColumn id="12" xr3:uid="{EBF9FCB1-BF41-4340-9654-F2C8A785425A}" name="Spalte12" dataDxfId="334"/>
    <tableColumn id="13" xr3:uid="{EA07DEEB-B37C-461E-89BA-BE8B47B6D901}" name="Spalte13" dataDxfId="333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8917D-3E47-4D24-A7FE-F252CF431DEC}" name="Tbl_A5" displayName="Tbl_A5" ref="A72:M84" headerRowCount="0" totalsRowShown="0" tableBorderDxfId="332">
  <tableColumns count="13">
    <tableColumn id="1" xr3:uid="{55CD6360-E78C-4076-AC1E-F512D35CF9A2}" name="Spalte1"/>
    <tableColumn id="2" xr3:uid="{51EB374B-B419-401E-BA31-FE894826C29C}" name="Spalte2"/>
    <tableColumn id="3" xr3:uid="{AB458164-27DE-4D6F-8E53-A955E5A216E0}" name="Spalte3" dataDxfId="331"/>
    <tableColumn id="4" xr3:uid="{D278EAB1-CCE0-43B7-8C65-CB513E996733}" name="Spalte4" dataDxfId="330"/>
    <tableColumn id="5" xr3:uid="{BB5CD986-E715-4488-A814-84BD5BA6E298}" name="Spalte5" dataDxfId="329"/>
    <tableColumn id="6" xr3:uid="{780EB170-715F-4C99-B933-2ADF937DCF7E}" name="Spalte6" dataDxfId="328"/>
    <tableColumn id="7" xr3:uid="{34FE98B2-8B6B-4585-9D8C-A9474239CA17}" name="Spalte7" dataDxfId="327"/>
    <tableColumn id="8" xr3:uid="{719CB9C0-527E-41EB-8F23-DA522D23E365}" name="Spalte8" dataDxfId="326"/>
    <tableColumn id="9" xr3:uid="{C6DC24C5-6D7B-48FA-8339-E3D9DE2CE508}" name="Spalte9" dataDxfId="325"/>
    <tableColumn id="10" xr3:uid="{2151B8DA-658F-4A07-9DFD-CEE845AC602B}" name="Spalte10" dataDxfId="324"/>
    <tableColumn id="11" xr3:uid="{F96FB12C-32FF-415A-A4A0-46C1C4791FAE}" name="Spalte11" dataDxfId="323"/>
    <tableColumn id="12" xr3:uid="{3970747B-9A83-4098-ACC4-CBCED5DC6433}" name="Spalte12" dataDxfId="322"/>
    <tableColumn id="13" xr3:uid="{9C85C61F-5F2E-4737-95C1-F52C779390AB}" name="Spalte13" dataDxfId="321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3BE92C-7C3E-4179-A44B-5F655E30AAF3}" name="Tbl_Liquiditaet" displayName="Tbl_Liquiditaet" ref="A9:M13" headerRowCount="0" headerRowDxfId="320" totalsRowDxfId="318" tableBorderDxfId="319">
  <tableColumns count="13">
    <tableColumn id="2" xr3:uid="{D183D43A-83A5-47A3-8E9F-48846F0DA945}" name="Spalte2" dataDxfId="317"/>
    <tableColumn id="3" xr3:uid="{B7C9AB52-91F3-44A3-9DB2-549FD92A410C}" name="Spalte3" dataDxfId="316"/>
    <tableColumn id="4" xr3:uid="{89DDCDF6-93D6-44D7-8D99-7C5DE7386F9B}" name="Spalte4" totalsRowFunction="sum" headerRowDxfId="315" dataDxfId="314"/>
    <tableColumn id="5" xr3:uid="{38F1B574-3694-45B5-804F-CB68DD8AB841}" name="Spalte5" totalsRowFunction="sum" headerRowDxfId="313" dataDxfId="312"/>
    <tableColumn id="6" xr3:uid="{14A36F1B-3F36-42DD-9527-6806209C6351}" name="Spalte6" totalsRowFunction="sum" headerRowDxfId="311" dataDxfId="310"/>
    <tableColumn id="7" xr3:uid="{321709A4-FD8F-48E2-B8C2-492FBA808B44}" name="Spalte7" totalsRowFunction="sum" headerRowDxfId="309" dataDxfId="308"/>
    <tableColumn id="8" xr3:uid="{4B46A808-ABA7-4246-B27B-9A9261264A22}" name="Spalte8" totalsRowFunction="sum" dataDxfId="307"/>
    <tableColumn id="9" xr3:uid="{AC1FBE0A-27B3-4E58-9480-A16258D47B96}" name="Spalte9" totalsRowFunction="sum" dataDxfId="306"/>
    <tableColumn id="10" xr3:uid="{9C778071-A4AF-418D-A862-DE766A3C8021}" name="Spalte10" totalsRowFunction="sum" dataDxfId="305"/>
    <tableColumn id="11" xr3:uid="{2B1C7807-14C1-4E55-A2F5-DD8BAACA1D8D}" name="Spalte11" totalsRowFunction="sum" dataDxfId="304"/>
    <tableColumn id="12" xr3:uid="{AE0DE41B-E7E7-47A0-AA11-CD278A487B3E}" name="Spalte12" totalsRowFunction="sum" dataDxfId="303"/>
    <tableColumn id="13" xr3:uid="{C965F96B-FFE8-4509-9408-958527ED92D4}" name="Spalte13" totalsRowFunction="sum" dataDxfId="302"/>
    <tableColumn id="14" xr3:uid="{E2D4079C-0689-4425-9921-B8036E73A821}" name="Spalte14" totalsRowFunction="sum" dataDxfId="30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F367EF-C2D7-4587-94A1-9FB26FFD082B}" name="Tbl_Risikoarm" displayName="Tbl_Risikoarm" ref="A17:M21" headerRowCount="0" headerRowDxfId="300" totalsRowDxfId="298" tableBorderDxfId="299">
  <tableColumns count="13">
    <tableColumn id="2" xr3:uid="{40493E83-5BE9-42FA-B38F-ECF6EDDED106}" name="Spalte2" dataDxfId="297" totalsRowDxfId="296"/>
    <tableColumn id="3" xr3:uid="{A7F3F224-788F-4C92-A30E-FEAF5A36B329}" name="Spalte3" dataDxfId="295" totalsRowDxfId="294"/>
    <tableColumn id="4" xr3:uid="{8E43DF40-7C72-45F2-97BA-89EFB6903E2B}" name="Spalte4" totalsRowFunction="sum" headerRowDxfId="293" dataDxfId="292" totalsRowDxfId="291"/>
    <tableColumn id="5" xr3:uid="{5D35E992-9BBA-45F4-A184-71F88797E0DE}" name="Spalte5" totalsRowFunction="sum" headerRowDxfId="290" dataDxfId="289" totalsRowDxfId="288"/>
    <tableColumn id="6" xr3:uid="{8230EF93-6174-48E6-98FE-E132E91A16CA}" name="Spalte6" totalsRowFunction="sum" headerRowDxfId="287" dataDxfId="286" totalsRowDxfId="285"/>
    <tableColumn id="7" xr3:uid="{2A28D0A5-E559-48D4-B8B5-768C3CEC3986}" name="Spalte7" totalsRowFunction="sum" headerRowDxfId="284" dataDxfId="283" totalsRowDxfId="282"/>
    <tableColumn id="8" xr3:uid="{8DC54C91-EEDF-4DA5-A5F0-A83FA57E5D4A}" name="Spalte8" totalsRowFunction="sum" dataDxfId="281" totalsRowDxfId="280"/>
    <tableColumn id="9" xr3:uid="{82CCD6E5-1BA3-4FE9-BAB2-2FC277D92706}" name="Spalte9" totalsRowFunction="sum" dataDxfId="279" totalsRowDxfId="278"/>
    <tableColumn id="10" xr3:uid="{456EDB21-041C-465D-9C45-6A313CB09A94}" name="Spalte10" totalsRowFunction="sum" dataDxfId="277" totalsRowDxfId="276"/>
    <tableColumn id="11" xr3:uid="{EE3AE7FD-7D2C-4F92-87CD-3A11EDDFEFD4}" name="Spalte11" totalsRowFunction="sum" dataDxfId="275" totalsRowDxfId="274"/>
    <tableColumn id="12" xr3:uid="{E6679219-2AFE-4A7C-9644-1783E4E8BCC1}" name="Spalte12" totalsRowFunction="sum" dataDxfId="273" totalsRowDxfId="272"/>
    <tableColumn id="13" xr3:uid="{6E4358E7-4E52-43FE-8C21-7EE997A4ADB2}" name="Spalte13" totalsRowFunction="sum" dataDxfId="271" totalsRowDxfId="270"/>
    <tableColumn id="14" xr3:uid="{D023C804-15B6-4B0E-8C4B-97B24EA97F11}" name="Spalte14" totalsRowFunction="sum" dataDxfId="269" totalsRowDxfId="2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cher-zu-wohlstand.de/" TargetMode="External"/><Relationship Id="rId1" Type="http://schemas.openxmlformats.org/officeDocument/2006/relationships/hyperlink" Target="https://sicher-zu-wohlstand.de/experten-netzwer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4080-9BBE-4817-893B-817C6A0D0D15}">
  <dimension ref="A1:E26"/>
  <sheetViews>
    <sheetView showGridLines="0" tabSelected="1" workbookViewId="0"/>
  </sheetViews>
  <sheetFormatPr baseColWidth="10" defaultRowHeight="14.4" x14ac:dyDescent="0.3"/>
  <cols>
    <col min="1" max="1" width="23.77734375" bestFit="1" customWidth="1"/>
  </cols>
  <sheetData>
    <row r="1" spans="1:5" ht="23.4" x14ac:dyDescent="0.45">
      <c r="A1" s="35" t="s">
        <v>118</v>
      </c>
    </row>
    <row r="2" spans="1:5" x14ac:dyDescent="0.3">
      <c r="A2" t="s">
        <v>43</v>
      </c>
      <c r="B2" s="45">
        <v>45962</v>
      </c>
      <c r="C2" s="47" t="s">
        <v>119</v>
      </c>
    </row>
    <row r="3" spans="1:5" x14ac:dyDescent="0.3">
      <c r="A3" t="s">
        <v>110</v>
      </c>
      <c r="B3" s="45">
        <v>46022</v>
      </c>
      <c r="C3" s="47" t="s">
        <v>120</v>
      </c>
    </row>
    <row r="4" spans="1:5" x14ac:dyDescent="0.3">
      <c r="A4" t="s">
        <v>44</v>
      </c>
      <c r="B4" s="46" t="s">
        <v>140</v>
      </c>
      <c r="C4" s="47" t="s">
        <v>121</v>
      </c>
    </row>
    <row r="5" spans="1:5" x14ac:dyDescent="0.3">
      <c r="A5" t="s">
        <v>122</v>
      </c>
      <c r="B5" s="46">
        <v>1995</v>
      </c>
      <c r="C5" s="47" t="s">
        <v>123</v>
      </c>
    </row>
    <row r="7" spans="1:5" x14ac:dyDescent="0.3">
      <c r="A7" t="s">
        <v>168</v>
      </c>
      <c r="B7" s="51"/>
      <c r="E7" s="51" t="s">
        <v>170</v>
      </c>
    </row>
    <row r="8" spans="1:5" x14ac:dyDescent="0.3">
      <c r="A8" t="s">
        <v>169</v>
      </c>
      <c r="B8" s="51"/>
      <c r="E8" s="51" t="s">
        <v>171</v>
      </c>
    </row>
    <row r="14" spans="1:5" x14ac:dyDescent="0.3">
      <c r="A14" t="s">
        <v>158</v>
      </c>
    </row>
    <row r="15" spans="1:5" x14ac:dyDescent="0.3">
      <c r="A15" t="s">
        <v>161</v>
      </c>
    </row>
    <row r="16" spans="1:5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159</v>
      </c>
    </row>
    <row r="19" spans="1:1" x14ac:dyDescent="0.3">
      <c r="A19" t="s">
        <v>166</v>
      </c>
    </row>
    <row r="20" spans="1:1" x14ac:dyDescent="0.3">
      <c r="A20" t="s">
        <v>165</v>
      </c>
    </row>
    <row r="21" spans="1:1" x14ac:dyDescent="0.3">
      <c r="A21" t="s">
        <v>167</v>
      </c>
    </row>
    <row r="22" spans="1:1" x14ac:dyDescent="0.3">
      <c r="A22" t="s">
        <v>164</v>
      </c>
    </row>
    <row r="23" spans="1:1" x14ac:dyDescent="0.3">
      <c r="A23" t="s">
        <v>160</v>
      </c>
    </row>
    <row r="24" spans="1:1" x14ac:dyDescent="0.3">
      <c r="A24" s="52"/>
    </row>
    <row r="25" spans="1:1" x14ac:dyDescent="0.3">
      <c r="A25" t="s">
        <v>180</v>
      </c>
    </row>
    <row r="26" spans="1:1" x14ac:dyDescent="0.3">
      <c r="A26" s="52"/>
    </row>
  </sheetData>
  <hyperlinks>
    <hyperlink ref="E8" r:id="rId1" xr:uid="{174BCEE0-9CFF-41AE-81D0-2ED30EDF40EB}"/>
    <hyperlink ref="E7" r:id="rId2" xr:uid="{AB3FA6B8-28C3-45C2-99BA-60E3D477C824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00EA-5A4C-4818-96D8-20D25F31F2CA}">
  <dimension ref="A1:B15"/>
  <sheetViews>
    <sheetView showGridLines="0" zoomScaleNormal="100" workbookViewId="0"/>
  </sheetViews>
  <sheetFormatPr baseColWidth="10" defaultRowHeight="14.4" x14ac:dyDescent="0.3"/>
  <cols>
    <col min="1" max="1" width="4.21875" style="33" customWidth="1"/>
    <col min="2" max="2" width="57.5546875" customWidth="1"/>
  </cols>
  <sheetData>
    <row r="1" spans="1:2" ht="20.399999999999999" thickBot="1" x14ac:dyDescent="0.45">
      <c r="A1" s="34" t="s">
        <v>114</v>
      </c>
    </row>
    <row r="2" spans="1:2" ht="18" thickTop="1" x14ac:dyDescent="0.35">
      <c r="A2" s="55" t="str">
        <f>CONCATENATE("Aufgaben vom ", TEXT(Einstellungen!B2,"TT.MM.JJJJ"), " (zu erledigen bis ", TEXT(Einstellungen!B3, "TT.MM.JJJJ"),")")</f>
        <v>Aufgaben vom 01.11.2025 (zu erledigen bis 31.12.2025)</v>
      </c>
      <c r="B2" s="55"/>
    </row>
    <row r="3" spans="1:2" x14ac:dyDescent="0.3">
      <c r="A3" s="33" t="s">
        <v>115</v>
      </c>
      <c r="B3" t="s">
        <v>172</v>
      </c>
    </row>
    <row r="4" spans="1:2" x14ac:dyDescent="0.3">
      <c r="A4" s="33" t="s">
        <v>115</v>
      </c>
      <c r="B4" t="s">
        <v>173</v>
      </c>
    </row>
    <row r="5" spans="1:2" x14ac:dyDescent="0.3">
      <c r="A5" s="33" t="s">
        <v>115</v>
      </c>
      <c r="B5" t="s">
        <v>174</v>
      </c>
    </row>
    <row r="6" spans="1:2" x14ac:dyDescent="0.3">
      <c r="A6" s="33" t="s">
        <v>115</v>
      </c>
      <c r="B6" t="s">
        <v>134</v>
      </c>
    </row>
    <row r="7" spans="1:2" x14ac:dyDescent="0.3">
      <c r="A7" s="33" t="s">
        <v>115</v>
      </c>
      <c r="B7" t="s">
        <v>175</v>
      </c>
    </row>
    <row r="8" spans="1:2" x14ac:dyDescent="0.3">
      <c r="A8" s="33" t="s">
        <v>115</v>
      </c>
      <c r="B8" t="str">
        <f>CONCATENATE("Erfasse im Tabellenblatt ""Vermögensüberblick"" bis zu 3 Ziele bis zum ersten regelmäßigen Termin des 12-Monats-Zyklus, also bis zum ",TEXT(Einstellungen!B3, "TT.MM.JJJJ"),". Beispiele: Deine Sparrate, Erhöhrung des Einkommens, ...")</f>
        <v>Erfasse im Tabellenblatt "Vermögensüberblick" bis zu 3 Ziele bis zum ersten regelmäßigen Termin des 12-Monats-Zyklus, also bis zum 31.12.2025. Beispiele: Deine Sparrate, Erhöhrung des Einkommens, ...</v>
      </c>
    </row>
    <row r="11" spans="1:2" ht="17.399999999999999" x14ac:dyDescent="0.35">
      <c r="A11" s="55" t="str">
        <f>CONCATENATE("Jährlich wiederkehrende Aufgaben (zum Stichtag ",TEXT(Einstellungen!B3,"TT.MM."),")")</f>
        <v>Jährlich wiederkehrende Aufgaben (zum Stichtag 31.12.)</v>
      </c>
      <c r="B11" s="55"/>
    </row>
    <row r="12" spans="1:2" x14ac:dyDescent="0.3">
      <c r="A12" s="33" t="s">
        <v>115</v>
      </c>
      <c r="B12" t="s">
        <v>176</v>
      </c>
    </row>
    <row r="13" spans="1:2" x14ac:dyDescent="0.3">
      <c r="A13" s="33" t="s">
        <v>115</v>
      </c>
      <c r="B13" t="s">
        <v>177</v>
      </c>
    </row>
    <row r="14" spans="1:2" x14ac:dyDescent="0.3">
      <c r="A14" s="33" t="s">
        <v>115</v>
      </c>
      <c r="B14" t="s">
        <v>178</v>
      </c>
    </row>
    <row r="15" spans="1:2" x14ac:dyDescent="0.3">
      <c r="A15" s="33" t="s">
        <v>115</v>
      </c>
      <c r="B15" t="s">
        <v>179</v>
      </c>
    </row>
  </sheetData>
  <mergeCells count="2">
    <mergeCell ref="A2:B2"/>
    <mergeCell ref="A11:B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532D-6312-48FE-93F6-16A8B500F114}">
  <sheetPr>
    <tabColor rgb="FFFFC000"/>
  </sheetPr>
  <dimension ref="A1:M92"/>
  <sheetViews>
    <sheetView workbookViewId="0"/>
  </sheetViews>
  <sheetFormatPr baseColWidth="10" defaultRowHeight="14.4" x14ac:dyDescent="0.3"/>
  <cols>
    <col min="1" max="1" width="27.5546875" bestFit="1" customWidth="1"/>
    <col min="2" max="2" width="30.109375" bestFit="1" customWidth="1"/>
    <col min="3" max="13" width="15.21875" bestFit="1" customWidth="1"/>
  </cols>
  <sheetData>
    <row r="1" spans="1:13" ht="23.4" x14ac:dyDescent="0.45">
      <c r="A1" s="54" t="str">
        <f>CONCATENATE("Einnahmen/Ausgaben von ", Einstellungen!B4)</f>
        <v>Einnahmen/Ausgaben von Muster</v>
      </c>
      <c r="B1" s="54"/>
    </row>
    <row r="3" spans="1:13" ht="20.399999999999999" thickBot="1" x14ac:dyDescent="0.45">
      <c r="A3" s="21" t="s">
        <v>69</v>
      </c>
      <c r="B3" s="21"/>
      <c r="C3" s="22" t="s">
        <v>111</v>
      </c>
      <c r="D3" s="22">
        <f>Einstellungen!B2</f>
        <v>45962</v>
      </c>
      <c r="E3" s="22">
        <f>Einstellungen!B3</f>
        <v>46022</v>
      </c>
      <c r="F3" s="22">
        <f>EDATE(E3,12)</f>
        <v>46387</v>
      </c>
      <c r="G3" s="22">
        <f t="shared" ref="G3:M3" si="0">EDATE(F3,12)</f>
        <v>46752</v>
      </c>
      <c r="H3" s="22">
        <f t="shared" si="0"/>
        <v>47118</v>
      </c>
      <c r="I3" s="22">
        <f t="shared" si="0"/>
        <v>47483</v>
      </c>
      <c r="J3" s="22">
        <f t="shared" si="0"/>
        <v>47848</v>
      </c>
      <c r="K3" s="22">
        <f t="shared" si="0"/>
        <v>48213</v>
      </c>
      <c r="L3" s="22">
        <f t="shared" si="0"/>
        <v>48579</v>
      </c>
      <c r="M3" s="22">
        <f t="shared" si="0"/>
        <v>48944</v>
      </c>
    </row>
    <row r="4" spans="1:13" ht="21" thickTop="1" thickBot="1" x14ac:dyDescent="0.45">
      <c r="A4" s="21" t="s">
        <v>137</v>
      </c>
      <c r="B4" s="21"/>
      <c r="C4" s="23">
        <f>C6-C18</f>
        <v>0</v>
      </c>
      <c r="D4" s="23">
        <f t="shared" ref="D4:M4" si="1">D6-D18</f>
        <v>0</v>
      </c>
      <c r="E4" s="23">
        <f t="shared" si="1"/>
        <v>0</v>
      </c>
      <c r="F4" s="23">
        <f t="shared" si="1"/>
        <v>0</v>
      </c>
      <c r="G4" s="23">
        <f t="shared" si="1"/>
        <v>0</v>
      </c>
      <c r="H4" s="23">
        <f t="shared" si="1"/>
        <v>0</v>
      </c>
      <c r="I4" s="23">
        <f t="shared" si="1"/>
        <v>0</v>
      </c>
      <c r="J4" s="23">
        <f t="shared" si="1"/>
        <v>0</v>
      </c>
      <c r="K4" s="23">
        <f t="shared" si="1"/>
        <v>0</v>
      </c>
      <c r="L4" s="23">
        <f t="shared" si="1"/>
        <v>0</v>
      </c>
      <c r="M4" s="23">
        <f t="shared" si="1"/>
        <v>0</v>
      </c>
    </row>
    <row r="5" spans="1:13" ht="15" thickTop="1" x14ac:dyDescent="0.3"/>
    <row r="6" spans="1:13" ht="17.399999999999999" x14ac:dyDescent="0.35">
      <c r="A6" s="27" t="s">
        <v>45</v>
      </c>
      <c r="B6" s="27"/>
      <c r="C6" s="32">
        <f>SUM(Tbl_E1[Spalte3])</f>
        <v>0</v>
      </c>
      <c r="D6" s="32">
        <f>SUM(Tbl_E1[Spalte4])</f>
        <v>0</v>
      </c>
      <c r="E6" s="32">
        <f>SUM(Tbl_E1[Spalte5])</f>
        <v>0</v>
      </c>
      <c r="F6" s="32">
        <f>SUM(Tbl_E1[Spalte6])</f>
        <v>0</v>
      </c>
      <c r="G6" s="32">
        <f>SUM(Tbl_E1[Spalte7])</f>
        <v>0</v>
      </c>
      <c r="H6" s="32">
        <f>SUM(Tbl_E1[Spalte8])</f>
        <v>0</v>
      </c>
      <c r="I6" s="32">
        <f>SUM(Tbl_E1[Spalte9])</f>
        <v>0</v>
      </c>
      <c r="J6" s="32">
        <f>SUM(Tbl_E1[Spalte10])</f>
        <v>0</v>
      </c>
      <c r="K6" s="32">
        <f>SUM(Tbl_E1[Spalte11])</f>
        <v>0</v>
      </c>
      <c r="L6" s="32">
        <f>SUM(Tbl_E1[Spalte12])</f>
        <v>0</v>
      </c>
      <c r="M6" s="32">
        <f>SUM(Tbl_E1[Spalte13])</f>
        <v>0</v>
      </c>
    </row>
    <row r="7" spans="1:13" x14ac:dyDescent="0.3">
      <c r="A7" t="s">
        <v>64</v>
      </c>
      <c r="B7" t="s">
        <v>112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">
      <c r="A8" t="s">
        <v>46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3">
      <c r="A9" t="s">
        <v>67</v>
      </c>
      <c r="B9" t="s">
        <v>90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3">
      <c r="A10" t="s">
        <v>8</v>
      </c>
      <c r="B10" t="s">
        <v>68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3">
      <c r="A11" t="s">
        <v>65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3">
      <c r="A12" t="s">
        <v>66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3">
      <c r="A13" t="s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3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8" spans="1:13" ht="18" thickBot="1" x14ac:dyDescent="0.4">
      <c r="A18" s="29" t="s">
        <v>47</v>
      </c>
      <c r="B18" s="29"/>
      <c r="C18" s="30">
        <f t="shared" ref="C18:M18" si="2">C20+C33+C52+C63+C87</f>
        <v>0</v>
      </c>
      <c r="D18" s="30">
        <f t="shared" si="2"/>
        <v>0</v>
      </c>
      <c r="E18" s="30">
        <f t="shared" si="2"/>
        <v>0</v>
      </c>
      <c r="F18" s="30">
        <f t="shared" si="2"/>
        <v>0</v>
      </c>
      <c r="G18" s="30">
        <f t="shared" si="2"/>
        <v>0</v>
      </c>
      <c r="H18" s="30">
        <f t="shared" si="2"/>
        <v>0</v>
      </c>
      <c r="I18" s="30">
        <f t="shared" si="2"/>
        <v>0</v>
      </c>
      <c r="J18" s="30">
        <f t="shared" si="2"/>
        <v>0</v>
      </c>
      <c r="K18" s="30">
        <f t="shared" si="2"/>
        <v>0</v>
      </c>
      <c r="L18" s="30">
        <f t="shared" si="2"/>
        <v>0</v>
      </c>
      <c r="M18" s="30">
        <f t="shared" si="2"/>
        <v>0</v>
      </c>
    </row>
    <row r="19" spans="1:13" ht="15" thickTop="1" x14ac:dyDescent="0.3"/>
    <row r="20" spans="1:13" ht="17.399999999999999" x14ac:dyDescent="0.35">
      <c r="A20" s="28" t="s">
        <v>70</v>
      </c>
      <c r="B20" s="28"/>
      <c r="C20" s="31">
        <f>SUM(Tbl_A1[Spalte3])</f>
        <v>0</v>
      </c>
      <c r="D20" s="31">
        <f>SUM(Tbl_A1[Spalte4])</f>
        <v>0</v>
      </c>
      <c r="E20" s="31">
        <f>SUM(Tbl_A1[Spalte5])</f>
        <v>0</v>
      </c>
      <c r="F20" s="31">
        <f>SUM(Tbl_A1[Spalte6])</f>
        <v>0</v>
      </c>
      <c r="G20" s="31">
        <f>SUM(Tbl_A1[Spalte7])</f>
        <v>0</v>
      </c>
      <c r="H20" s="31">
        <f>SUM(Tbl_A1[Spalte8])</f>
        <v>0</v>
      </c>
      <c r="I20" s="31">
        <f>SUM(Tbl_A1[Spalte9])</f>
        <v>0</v>
      </c>
      <c r="J20" s="31">
        <f>SUM(Tbl_A1[Spalte10])</f>
        <v>0</v>
      </c>
      <c r="K20" s="31">
        <f>SUM(Tbl_A1[Spalte11])</f>
        <v>0</v>
      </c>
      <c r="L20" s="31">
        <f>SUM(Tbl_A1[Spalte12])</f>
        <v>0</v>
      </c>
      <c r="M20" s="31">
        <f>SUM(Tbl_A1[Spalte13])</f>
        <v>0</v>
      </c>
    </row>
    <row r="21" spans="1:13" x14ac:dyDescent="0.3">
      <c r="A21" t="s">
        <v>71</v>
      </c>
      <c r="B21" t="s">
        <v>59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3">
      <c r="A22" t="s">
        <v>60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3">
      <c r="A23" t="s">
        <v>72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3">
      <c r="A24" t="s">
        <v>73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3">
      <c r="A25" t="s">
        <v>94</v>
      </c>
      <c r="B25" t="s">
        <v>95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3">
      <c r="A26" t="s">
        <v>74</v>
      </c>
      <c r="B26" t="s">
        <v>96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3">
      <c r="A27" t="s">
        <v>75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3">
      <c r="A28" t="s">
        <v>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3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3" spans="1:13" ht="17.399999999999999" x14ac:dyDescent="0.35">
      <c r="A33" s="28" t="s">
        <v>52</v>
      </c>
      <c r="B33" s="28"/>
      <c r="C33" s="31">
        <f>SUM(Tbl_A2[Spalte3])</f>
        <v>0</v>
      </c>
      <c r="D33" s="31">
        <f>SUM(Tbl_A2[Spalte4])</f>
        <v>0</v>
      </c>
      <c r="E33" s="31">
        <f>SUM(Tbl_A2[Spalte5])</f>
        <v>0</v>
      </c>
      <c r="F33" s="31">
        <f>SUM(Tbl_A2[Spalte6])</f>
        <v>0</v>
      </c>
      <c r="G33" s="31">
        <f>SUM(Tbl_A2[Spalte7])</f>
        <v>0</v>
      </c>
      <c r="H33" s="31">
        <f>SUM(Tbl_A2[Spalte8])</f>
        <v>0</v>
      </c>
      <c r="I33" s="31">
        <f>SUM(Tbl_A2[Spalte9])</f>
        <v>0</v>
      </c>
      <c r="J33" s="31">
        <f>SUM(Tbl_A2[Spalte10])</f>
        <v>0</v>
      </c>
      <c r="K33" s="31">
        <f>SUM(Tbl_A2[Spalte11])</f>
        <v>0</v>
      </c>
      <c r="L33" s="31">
        <f>SUM(Tbl_A2[Spalte12])</f>
        <v>0</v>
      </c>
      <c r="M33" s="31">
        <f>SUM(Tbl_A2[Spalte13])</f>
        <v>0</v>
      </c>
    </row>
    <row r="34" spans="1:13" x14ac:dyDescent="0.3">
      <c r="A34" t="s">
        <v>48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3">
      <c r="A35" t="s">
        <v>50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3">
      <c r="A36" t="s">
        <v>76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">
      <c r="A37" t="s">
        <v>77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3">
      <c r="A38" t="s">
        <v>54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">
      <c r="A39" t="s">
        <v>57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3">
      <c r="A40" t="s">
        <v>49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3">
      <c r="A41" t="s">
        <v>55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3">
      <c r="A42" t="s">
        <v>51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3">
      <c r="A43" t="s">
        <v>56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3">
      <c r="A44" t="s">
        <v>58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3">
      <c r="A45" t="s">
        <v>78</v>
      </c>
      <c r="B45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3">
      <c r="A46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3">
      <c r="A47" t="s">
        <v>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3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3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2" spans="1:13" ht="17.399999999999999" x14ac:dyDescent="0.35">
      <c r="A52" s="28" t="s">
        <v>81</v>
      </c>
      <c r="B52" s="28"/>
      <c r="C52" s="31">
        <f>SUM(Tbl_A3[Spalte3])</f>
        <v>0</v>
      </c>
      <c r="D52" s="31">
        <f>SUM(Tbl_A3[Spalte4])</f>
        <v>0</v>
      </c>
      <c r="E52" s="31">
        <f>SUM(Tbl_A3[Spalte5])</f>
        <v>0</v>
      </c>
      <c r="F52" s="31">
        <f>SUM(Tbl_A3[Spalte6])</f>
        <v>0</v>
      </c>
      <c r="G52" s="31">
        <f>SUM(Tbl_A3[Spalte7])</f>
        <v>0</v>
      </c>
      <c r="H52" s="31">
        <f>SUM(Tbl_A3[Spalte8])</f>
        <v>0</v>
      </c>
      <c r="I52" s="31">
        <f>SUM(Tbl_A3[Spalte9])</f>
        <v>0</v>
      </c>
      <c r="J52" s="31">
        <f>SUM(Tbl_A3[Spalte10])</f>
        <v>0</v>
      </c>
      <c r="K52" s="31">
        <f>SUM(Tbl_A3[Spalte11])</f>
        <v>0</v>
      </c>
      <c r="L52" s="31">
        <f>SUM(Tbl_A3[Spalte12])</f>
        <v>0</v>
      </c>
      <c r="M52" s="31">
        <f>SUM(Tbl_A3[Spalte13])</f>
        <v>0</v>
      </c>
    </row>
    <row r="53" spans="1:13" x14ac:dyDescent="0.3">
      <c r="A53" t="s">
        <v>82</v>
      </c>
      <c r="B53" t="s">
        <v>83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3">
      <c r="A54" t="s">
        <v>101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3">
      <c r="A55" t="s">
        <v>63</v>
      </c>
      <c r="B55" t="s">
        <v>102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3">
      <c r="A56" t="s">
        <v>84</v>
      </c>
      <c r="B56" t="s">
        <v>85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3">
      <c r="A57" t="s">
        <v>61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3">
      <c r="A58" t="s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3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3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3" spans="1:13" ht="17.399999999999999" x14ac:dyDescent="0.35">
      <c r="A63" s="28" t="s">
        <v>86</v>
      </c>
      <c r="B63" s="28"/>
      <c r="C63" s="31">
        <f>SUM(Tbl_A4[Spalte3])</f>
        <v>0</v>
      </c>
      <c r="D63" s="31">
        <f>SUM(Tbl_A4[Spalte4])</f>
        <v>0</v>
      </c>
      <c r="E63" s="31">
        <f>SUM(Tbl_A4[Spalte5])</f>
        <v>0</v>
      </c>
      <c r="F63" s="31">
        <f>SUM(Tbl_A4[Spalte6])</f>
        <v>0</v>
      </c>
      <c r="G63" s="31">
        <f>SUM(Tbl_A4[Spalte7])</f>
        <v>0</v>
      </c>
      <c r="H63" s="31">
        <f>SUM(Tbl_A4[Spalte8])</f>
        <v>0</v>
      </c>
      <c r="I63" s="31">
        <f>SUM(Tbl_A4[Spalte9])</f>
        <v>0</v>
      </c>
      <c r="J63" s="31">
        <f>SUM(Tbl_A4[Spalte10])</f>
        <v>0</v>
      </c>
      <c r="K63" s="31">
        <f>SUM(Tbl_A4[Spalte11])</f>
        <v>0</v>
      </c>
      <c r="L63" s="31">
        <f>SUM(Tbl_A4[Spalte12])</f>
        <v>0</v>
      </c>
      <c r="M63" s="31">
        <f>SUM(Tbl_A4[Spalte13])</f>
        <v>0</v>
      </c>
    </row>
    <row r="64" spans="1:13" x14ac:dyDescent="0.3">
      <c r="A64" t="s">
        <v>87</v>
      </c>
      <c r="B64" t="s">
        <v>88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3">
      <c r="A65" t="s">
        <v>89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3">
      <c r="A66" t="s">
        <v>1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3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3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71" spans="1:13" ht="17.399999999999999" x14ac:dyDescent="0.35">
      <c r="A71" s="28" t="s">
        <v>62</v>
      </c>
      <c r="B71" s="28"/>
      <c r="C71" s="31">
        <f>SUM(Tbl_A5[Spalte3])</f>
        <v>0</v>
      </c>
      <c r="D71" s="31">
        <f>SUM(Tbl_A5[Spalte4])</f>
        <v>0</v>
      </c>
      <c r="E71" s="31">
        <f>SUM(Tbl_A5[Spalte5])</f>
        <v>0</v>
      </c>
      <c r="F71" s="31">
        <f>SUM(Tbl_A5[Spalte6])</f>
        <v>0</v>
      </c>
      <c r="G71" s="31">
        <f>SUM(Tbl_A5[Spalte7])</f>
        <v>0</v>
      </c>
      <c r="H71" s="31">
        <f>SUM(Tbl_A5[Spalte8])</f>
        <v>0</v>
      </c>
      <c r="I71" s="31">
        <f>SUM(Tbl_A5[Spalte9])</f>
        <v>0</v>
      </c>
      <c r="J71" s="31">
        <f>SUM(Tbl_A5[Spalte10])</f>
        <v>0</v>
      </c>
      <c r="K71" s="31">
        <f>SUM(Tbl_A5[Spalte11])</f>
        <v>0</v>
      </c>
      <c r="L71" s="31">
        <f>SUM(Tbl_A5[Spalte12])</f>
        <v>0</v>
      </c>
      <c r="M71" s="31">
        <f>SUM(Tbl_A5[Spalte13])</f>
        <v>0</v>
      </c>
    </row>
    <row r="72" spans="1:13" x14ac:dyDescent="0.3">
      <c r="A72" t="s">
        <v>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3">
      <c r="A73" t="s">
        <v>3</v>
      </c>
      <c r="B73" t="s">
        <v>107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t="s">
        <v>106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3">
      <c r="A75" t="s">
        <v>105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3">
      <c r="A76" t="s">
        <v>98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3">
      <c r="A77" t="s">
        <v>100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3">
      <c r="A78" t="s">
        <v>99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3">
      <c r="A79" t="s">
        <v>97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3">
      <c r="A80" t="s">
        <v>103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3">
      <c r="A81" t="s">
        <v>104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3">
      <c r="A82" t="s">
        <v>1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3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3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7" spans="1:13" ht="17.399999999999999" x14ac:dyDescent="0.35">
      <c r="A87" s="28" t="s">
        <v>91</v>
      </c>
      <c r="B87" s="28"/>
      <c r="C87" s="31">
        <f>SUM(Tbl_A6[Spalte3])</f>
        <v>0</v>
      </c>
      <c r="D87" s="31">
        <f>SUM(Tbl_A6[Spalte4])</f>
        <v>0</v>
      </c>
      <c r="E87" s="31">
        <f>SUM(Tbl_A6[Spalte5])</f>
        <v>0</v>
      </c>
      <c r="F87" s="31">
        <f>SUM(Tbl_A6[Spalte6])</f>
        <v>0</v>
      </c>
      <c r="G87" s="31">
        <f>SUM(Tbl_A6[Spalte7])</f>
        <v>0</v>
      </c>
      <c r="H87" s="31">
        <f>SUM(Tbl_A6[Spalte8])</f>
        <v>0</v>
      </c>
      <c r="I87" s="31">
        <f>SUM(Tbl_A6[Spalte9])</f>
        <v>0</v>
      </c>
      <c r="J87" s="31">
        <f>SUM(Tbl_A6[Spalte10])</f>
        <v>0</v>
      </c>
      <c r="K87" s="31">
        <f>SUM(Tbl_A6[Spalte11])</f>
        <v>0</v>
      </c>
      <c r="L87" s="31">
        <f>SUM(Tbl_A6[Spalte12])</f>
        <v>0</v>
      </c>
      <c r="M87" s="31">
        <f>SUM(Tbl_A6[Spalte13])</f>
        <v>0</v>
      </c>
    </row>
    <row r="88" spans="1:13" x14ac:dyDescent="0.3">
      <c r="A88" t="s">
        <v>108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3">
      <c r="A89" t="s">
        <v>109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3">
      <c r="A90" t="s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3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3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</sheetData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XFC105"/>
  <sheetViews>
    <sheetView zoomScaleNormal="100" workbookViewId="0">
      <pane ySplit="3" topLeftCell="A4" activePane="bottomLeft" state="frozen"/>
      <selection pane="bottomLeft"/>
    </sheetView>
  </sheetViews>
  <sheetFormatPr baseColWidth="10" defaultRowHeight="14.4" x14ac:dyDescent="0.3"/>
  <cols>
    <col min="1" max="1" width="26.109375" style="11" bestFit="1" customWidth="1"/>
    <col min="2" max="2" width="49.5546875" style="11" customWidth="1"/>
    <col min="3" max="13" width="20.33203125" style="11" bestFit="1" customWidth="1"/>
    <col min="14" max="98" width="11.5546875" style="11"/>
    <col min="99" max="998" width="12.44140625" style="11" customWidth="1"/>
    <col min="999" max="9998" width="13.44140625" style="11" customWidth="1"/>
    <col min="9999" max="16384" width="14.44140625" style="11" customWidth="1"/>
  </cols>
  <sheetData>
    <row r="1" spans="1:13 16383:16383" s="13" customFormat="1" ht="23.4" x14ac:dyDescent="0.45">
      <c r="A1" s="53" t="str">
        <f>CONCATENATE("Nettovermögen von ", Einstellungen!B4)</f>
        <v>Nettovermögen von Muster</v>
      </c>
      <c r="B1" s="53"/>
    </row>
    <row r="3" spans="1:13 16383:16383" customFormat="1" ht="20.399999999999999" thickBot="1" x14ac:dyDescent="0.45">
      <c r="A3" s="21" t="s">
        <v>93</v>
      </c>
      <c r="B3" s="21"/>
      <c r="C3" s="22" t="s">
        <v>111</v>
      </c>
      <c r="D3" s="22">
        <f>Einstellungen!B2</f>
        <v>45962</v>
      </c>
      <c r="E3" s="22">
        <f>Einstellungen!B3</f>
        <v>46022</v>
      </c>
      <c r="F3" s="22">
        <f>EDATE(E3,12)</f>
        <v>46387</v>
      </c>
      <c r="G3" s="22">
        <f>EDATE(F3,12)</f>
        <v>46752</v>
      </c>
      <c r="H3" s="22">
        <f>EDATE(G3,12)</f>
        <v>47118</v>
      </c>
      <c r="I3" s="22">
        <f>EDATE(H3,12)</f>
        <v>47483</v>
      </c>
      <c r="J3" s="22">
        <f>EDATE(I3,12)</f>
        <v>47848</v>
      </c>
      <c r="K3" s="22">
        <f>EDATE(J3,12)</f>
        <v>48213</v>
      </c>
      <c r="L3" s="22">
        <f>EDATE(K3,12)</f>
        <v>48579</v>
      </c>
      <c r="M3" s="22">
        <f>EDATE(L3,12)</f>
        <v>48944</v>
      </c>
    </row>
    <row r="4" spans="1:13 16383:16383" customFormat="1" ht="21" thickTop="1" thickBot="1" x14ac:dyDescent="0.45">
      <c r="A4" s="21" t="s">
        <v>92</v>
      </c>
      <c r="B4" s="21"/>
      <c r="C4" s="23">
        <f>C8+C16+C24+C32+C40+C48+C65+C73-C81</f>
        <v>3600</v>
      </c>
      <c r="D4" s="23">
        <f>D6-D81</f>
        <v>0</v>
      </c>
      <c r="E4" s="23">
        <f>E6-E81</f>
        <v>0</v>
      </c>
      <c r="F4" s="23">
        <f>F6-F81</f>
        <v>0</v>
      </c>
      <c r="G4" s="23">
        <f>G6-G81</f>
        <v>0</v>
      </c>
      <c r="H4" s="23">
        <f>H6-H81</f>
        <v>0</v>
      </c>
      <c r="I4" s="23">
        <f>I6-I81</f>
        <v>0</v>
      </c>
      <c r="J4" s="23">
        <f>J6-J81</f>
        <v>0</v>
      </c>
      <c r="K4" s="23">
        <f>K6-K81</f>
        <v>0</v>
      </c>
      <c r="L4" s="23">
        <f>L6-L81</f>
        <v>0</v>
      </c>
      <c r="M4" s="23">
        <f>M6-M81</f>
        <v>0</v>
      </c>
    </row>
    <row r="5" spans="1:13 16383:16383" ht="15" thickTop="1" x14ac:dyDescent="0.3"/>
    <row r="6" spans="1:13 16383:16383" ht="18" thickBot="1" x14ac:dyDescent="0.4">
      <c r="A6" s="14" t="s">
        <v>117</v>
      </c>
      <c r="B6" s="14"/>
      <c r="C6" s="14">
        <f>C8+C16+C24+C32+C40+C48+C56+C65+C73</f>
        <v>3600</v>
      </c>
      <c r="D6" s="14">
        <f>D8+D16+D24+D32+D40+D48+D56+D65+D73</f>
        <v>0</v>
      </c>
      <c r="E6" s="14">
        <f t="shared" ref="E6:M6" si="0">E8+E16+E24+E32+E40+E48+E56+E65+E73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 16383:16383" ht="15" thickTop="1" x14ac:dyDescent="0.3"/>
    <row r="8" spans="1:13 16383:16383" customFormat="1" ht="18" thickBot="1" x14ac:dyDescent="0.4">
      <c r="A8" s="50" t="s">
        <v>181</v>
      </c>
      <c r="B8" s="50" t="s">
        <v>147</v>
      </c>
      <c r="C8" s="14">
        <f>SUM(Tbl_Liquiditaet[Spalte4])</f>
        <v>2600</v>
      </c>
      <c r="D8" s="14">
        <f>SUM(Tbl_Liquiditaet[Spalte5])</f>
        <v>0</v>
      </c>
      <c r="E8" s="14">
        <f>SUM(Tbl_Liquiditaet[Spalte6])</f>
        <v>0</v>
      </c>
      <c r="F8" s="14">
        <f>SUM(Tbl_Liquiditaet[Spalte7])</f>
        <v>0</v>
      </c>
      <c r="G8" s="14">
        <f>SUM(Tbl_Liquiditaet[Spalte8])</f>
        <v>0</v>
      </c>
      <c r="H8" s="14">
        <f>SUM(Tbl_Liquiditaet[Spalte9])</f>
        <v>0</v>
      </c>
      <c r="I8" s="14">
        <f>SUM(Tbl_Liquiditaet[Spalte10])</f>
        <v>0</v>
      </c>
      <c r="J8" s="14">
        <f>SUM(Tbl_Liquiditaet[Spalte11])</f>
        <v>0</v>
      </c>
      <c r="K8" s="14">
        <f>SUM(Tbl_Liquiditaet[Spalte12])</f>
        <v>0</v>
      </c>
      <c r="L8" s="14">
        <f>SUM(Tbl_Liquiditaet[Spalte13])</f>
        <v>0</v>
      </c>
      <c r="M8" s="14">
        <f>SUM(Tbl_Liquiditaet[Spalte14])</f>
        <v>0</v>
      </c>
    </row>
    <row r="9" spans="1:13 16383:16383" ht="15" thickTop="1" x14ac:dyDescent="0.3">
      <c r="A9" s="11" t="s">
        <v>28</v>
      </c>
      <c r="B9" s="11" t="s">
        <v>13</v>
      </c>
      <c r="C9" s="11">
        <v>100</v>
      </c>
    </row>
    <row r="10" spans="1:13 16383:16383" x14ac:dyDescent="0.3">
      <c r="A10" s="11" t="s">
        <v>20</v>
      </c>
      <c r="B10" s="11" t="s">
        <v>21</v>
      </c>
      <c r="C10" s="11">
        <v>2500</v>
      </c>
    </row>
    <row r="11" spans="1:13 16383:16383" x14ac:dyDescent="0.3">
      <c r="A11" s="11" t="s">
        <v>22</v>
      </c>
      <c r="B11" s="11" t="s">
        <v>19</v>
      </c>
    </row>
    <row r="14" spans="1:13 16383:16383" x14ac:dyDescent="0.3">
      <c r="XFC14" s="11" t="e">
        <f>SUBTOTAL(103,#REF!)</f>
        <v>#REF!</v>
      </c>
    </row>
    <row r="16" spans="1:13 16383:16383" ht="18" thickBot="1" x14ac:dyDescent="0.4">
      <c r="A16" s="50" t="s">
        <v>182</v>
      </c>
      <c r="B16" s="50" t="s">
        <v>148</v>
      </c>
      <c r="C16" s="14">
        <f>SUM(Tbl_Risikoarm[Spalte4])</f>
        <v>0</v>
      </c>
      <c r="D16" s="14">
        <f>SUM(Tbl_Risikoarm[Spalte5])</f>
        <v>0</v>
      </c>
      <c r="E16" s="14">
        <f>SUM(Tbl_Risikoarm[Spalte6])</f>
        <v>0</v>
      </c>
      <c r="F16" s="14">
        <f>SUM(Tbl_Risikoarm[Spalte7])</f>
        <v>0</v>
      </c>
      <c r="G16" s="14">
        <f>SUM(Tbl_Risikoarm[Spalte8])</f>
        <v>0</v>
      </c>
      <c r="H16" s="14">
        <f>SUM(Tbl_Risikoarm[Spalte9])</f>
        <v>0</v>
      </c>
      <c r="I16" s="14">
        <f>SUM(Tbl_Risikoarm[Spalte10])</f>
        <v>0</v>
      </c>
      <c r="J16" s="14">
        <f>SUM(Tbl_Risikoarm[Spalte11])</f>
        <v>0</v>
      </c>
      <c r="K16" s="14">
        <f>SUM(Tbl_Risikoarm[Spalte12])</f>
        <v>0</v>
      </c>
      <c r="L16" s="14">
        <f>SUM(Tbl_Risikoarm[Spalte13])</f>
        <v>0</v>
      </c>
      <c r="M16" s="14">
        <f>SUM(Tbl_Risikoarm[Spalte14])</f>
        <v>0</v>
      </c>
    </row>
    <row r="17" spans="1:13 16383:16383" customFormat="1" ht="15" thickTop="1" x14ac:dyDescent="0.3">
      <c r="A17" s="11" t="s">
        <v>20</v>
      </c>
      <c r="B17" s="11" t="s">
        <v>144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 16383:16383" x14ac:dyDescent="0.3">
      <c r="A18" s="11" t="s">
        <v>22</v>
      </c>
      <c r="B18" s="11" t="s">
        <v>145</v>
      </c>
    </row>
    <row r="20" spans="1:13 16383:16383" s="15" customForma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3" spans="1:13 16383:16383" x14ac:dyDescent="0.3">
      <c r="XFC23" s="11" t="e">
        <f>SUBTOTAL(103,#REF!)</f>
        <v>#REF!</v>
      </c>
    </row>
    <row r="24" spans="1:13 16383:16383" ht="18" thickBot="1" x14ac:dyDescent="0.4">
      <c r="A24" s="50" t="s">
        <v>183</v>
      </c>
      <c r="B24" s="50" t="s">
        <v>24</v>
      </c>
      <c r="C24" s="14">
        <f>SUM(Tbl_Boerse[Spalte4])</f>
        <v>1000</v>
      </c>
      <c r="D24" s="14">
        <f>SUM(Tbl_Boerse[Spalte5])</f>
        <v>0</v>
      </c>
      <c r="E24" s="14">
        <f>SUM(Tbl_Boerse[Spalte6])</f>
        <v>0</v>
      </c>
      <c r="F24" s="14">
        <f>SUM(Tbl_Boerse[Spalte7])</f>
        <v>0</v>
      </c>
      <c r="G24" s="14">
        <f>SUM(Tbl_Boerse[Spalte8])</f>
        <v>0</v>
      </c>
      <c r="H24" s="14">
        <f>SUM(Tbl_Boerse[Spalte9])</f>
        <v>0</v>
      </c>
      <c r="I24" s="14">
        <f>SUM(Tbl_Boerse[Spalte10])</f>
        <v>0</v>
      </c>
      <c r="J24" s="14">
        <f>SUM(Tbl_Boerse[Spalte11])</f>
        <v>0</v>
      </c>
      <c r="K24" s="14">
        <f>SUM(Tbl_Boerse[Spalte12])</f>
        <v>0</v>
      </c>
      <c r="L24" s="14">
        <f>SUM(Tbl_Boerse[Spalte13])</f>
        <v>0</v>
      </c>
      <c r="M24" s="14">
        <f>SUM(Tbl_Boerse[Spalte14])</f>
        <v>0</v>
      </c>
    </row>
    <row r="25" spans="1:13 16383:16383" ht="15" thickTop="1" x14ac:dyDescent="0.3">
      <c r="A25" s="11" t="s">
        <v>23</v>
      </c>
      <c r="B25" s="11" t="s">
        <v>24</v>
      </c>
      <c r="C25" s="11">
        <v>1000</v>
      </c>
    </row>
    <row r="26" spans="1:13 16383:16383" customFormat="1" x14ac:dyDescent="0.3">
      <c r="A26" s="11" t="s">
        <v>25</v>
      </c>
      <c r="B26" s="11" t="s">
        <v>24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31" spans="1:13 16383:16383" x14ac:dyDescent="0.3">
      <c r="J31" s="15"/>
      <c r="K31" s="15"/>
      <c r="L31" s="15"/>
      <c r="M31" s="15"/>
    </row>
    <row r="32" spans="1:13 16383:16383" ht="18" thickBot="1" x14ac:dyDescent="0.4">
      <c r="A32" s="18" t="s">
        <v>17</v>
      </c>
      <c r="B32" s="18" t="s">
        <v>146</v>
      </c>
      <c r="C32" s="14">
        <f>SUM(Tbl_Rohstoffe[Spalte4])</f>
        <v>0</v>
      </c>
      <c r="D32" s="14">
        <f>SUM(Tbl_Rohstoffe[Spalte5])</f>
        <v>0</v>
      </c>
      <c r="E32" s="14">
        <f>SUM(Tbl_Rohstoffe[Spalte6])</f>
        <v>0</v>
      </c>
      <c r="F32" s="14">
        <f>SUM(Tbl_Rohstoffe[Spalte7])</f>
        <v>0</v>
      </c>
      <c r="G32" s="14">
        <f>SUM(Tbl_Rohstoffe[Spalte8])</f>
        <v>0</v>
      </c>
      <c r="H32" s="14">
        <f>SUM(Tbl_Rohstoffe[Spalte9])</f>
        <v>0</v>
      </c>
      <c r="I32" s="14">
        <f>SUM(Tbl_Rohstoffe[Spalte10])</f>
        <v>0</v>
      </c>
      <c r="J32" s="14">
        <f>SUM(Tbl_Rohstoffe[Spalte11])</f>
        <v>0</v>
      </c>
      <c r="K32" s="14">
        <f>SUM(Tbl_Rohstoffe[Spalte12])</f>
        <v>0</v>
      </c>
      <c r="L32" s="14">
        <f>SUM(Tbl_Rohstoffe[Spalte13])</f>
        <v>0</v>
      </c>
      <c r="M32" s="14">
        <f>SUM(Tbl_Rohstoffe[Spalte14])</f>
        <v>0</v>
      </c>
      <c r="XFC32" s="11" t="e">
        <f>SUBTOTAL(103,#REF!)</f>
        <v>#REF!</v>
      </c>
    </row>
    <row r="33" spans="1:13 16383:16383" ht="15" thickTop="1" x14ac:dyDescent="0.3">
      <c r="A33" s="11" t="s">
        <v>26</v>
      </c>
      <c r="B33" s="11" t="s">
        <v>9</v>
      </c>
    </row>
    <row r="34" spans="1:13 16383:16383" s="15" customFormat="1" x14ac:dyDescent="0.3">
      <c r="A34" s="11" t="s">
        <v>26</v>
      </c>
      <c r="B34" s="11" t="s">
        <v>10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 16383:16383" customForma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 16383:16383" s="15" customForma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 16383:16383" s="15" customForma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 16383:16383" s="15" customFormat="1" x14ac:dyDescent="0.3">
      <c r="A38" s="11"/>
      <c r="B38" s="11"/>
      <c r="C38" s="11"/>
      <c r="D38" s="11"/>
      <c r="E38" s="11"/>
      <c r="F38" s="11"/>
      <c r="J38" s="11"/>
      <c r="K38" s="11"/>
      <c r="L38" s="11"/>
      <c r="M38" s="11"/>
    </row>
    <row r="39" spans="1:13 16383:16383" s="15" customFormat="1" x14ac:dyDescent="0.3">
      <c r="A39" s="11"/>
      <c r="B39" s="11"/>
      <c r="C39" s="11"/>
      <c r="D39" s="11"/>
      <c r="E39" s="11"/>
      <c r="F39" s="11"/>
      <c r="J39" s="11"/>
      <c r="K39" s="11"/>
      <c r="L39" s="11"/>
      <c r="M39" s="11"/>
    </row>
    <row r="40" spans="1:13 16383:16383" s="15" customFormat="1" ht="18" thickBot="1" x14ac:dyDescent="0.4">
      <c r="A40" s="18" t="s">
        <v>4</v>
      </c>
      <c r="B40" s="18" t="s">
        <v>149</v>
      </c>
      <c r="C40" s="14">
        <f>SUM(Tbl_Immobilien[Spalte4])</f>
        <v>0</v>
      </c>
      <c r="D40" s="14">
        <f>SUM(Tbl_Immobilien[Spalte5])</f>
        <v>0</v>
      </c>
      <c r="E40" s="14">
        <f>SUM(Tbl_Immobilien[Spalte6])</f>
        <v>0</v>
      </c>
      <c r="F40" s="14">
        <f>SUM(Tbl_Immobilien[Spalte7])</f>
        <v>0</v>
      </c>
      <c r="G40" s="14">
        <f>SUM(Tbl_Immobilien[Spalte8])</f>
        <v>0</v>
      </c>
      <c r="H40" s="14">
        <f>SUM(Tbl_Immobilien[Spalte9])</f>
        <v>0</v>
      </c>
      <c r="I40" s="14">
        <f>SUM(Tbl_Immobilien[Spalte10])</f>
        <v>0</v>
      </c>
      <c r="J40" s="14">
        <f>SUM(Tbl_Immobilien[Spalte11])</f>
        <v>0</v>
      </c>
      <c r="K40" s="14">
        <f>SUM(Tbl_Immobilien[Spalte12])</f>
        <v>0</v>
      </c>
      <c r="L40" s="14">
        <f>SUM(Tbl_Immobilien[Spalte13])</f>
        <v>0</v>
      </c>
      <c r="M40" s="14">
        <f>SUM(Tbl_Immobilien[Spalte14])</f>
        <v>0</v>
      </c>
    </row>
    <row r="41" spans="1:13 16383:16383" s="4" customFormat="1" ht="15" thickTop="1" x14ac:dyDescent="0.3">
      <c r="A41" s="11" t="s">
        <v>29</v>
      </c>
      <c r="B41" s="11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XFC41" s="4" t="e">
        <f>SUBTOTAL(103,#REF!)</f>
        <v>#REF!</v>
      </c>
    </row>
    <row r="42" spans="1:13 16383:16383" x14ac:dyDescent="0.3">
      <c r="A42" s="11" t="s">
        <v>23</v>
      </c>
      <c r="B42" s="11" t="s">
        <v>16</v>
      </c>
    </row>
    <row r="44" spans="1:13 16383:16383" customForma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6" spans="1:13 16383:16383" x14ac:dyDescent="0.3">
      <c r="A46"/>
      <c r="B46"/>
      <c r="C46"/>
      <c r="D46"/>
      <c r="E46"/>
      <c r="F46"/>
      <c r="G46" s="4"/>
      <c r="H46" s="4"/>
      <c r="I46" s="4"/>
      <c r="J46"/>
      <c r="K46"/>
      <c r="L46"/>
      <c r="M46"/>
    </row>
    <row r="48" spans="1:13 16383:16383" ht="18" thickBot="1" x14ac:dyDescent="0.4">
      <c r="A48" s="18" t="s">
        <v>151</v>
      </c>
      <c r="B48" s="18" t="s">
        <v>152</v>
      </c>
      <c r="C48" s="14">
        <f>SUM(Tbl_Sonstiges[Spalte4])</f>
        <v>0</v>
      </c>
      <c r="D48" s="14">
        <f>SUM(Tbl_Sonstiges[Spalte5])</f>
        <v>0</v>
      </c>
      <c r="E48" s="14">
        <f>SUM(Tbl_Sonstiges[Spalte6])</f>
        <v>0</v>
      </c>
      <c r="F48" s="14">
        <f>SUM(Tbl_Sonstiges[Spalte7])</f>
        <v>0</v>
      </c>
      <c r="G48" s="14">
        <f>SUM(Tbl_Sonstiges[Spalte8])</f>
        <v>0</v>
      </c>
      <c r="H48" s="14">
        <f>SUM(Tbl_Sonstiges[Spalte9])</f>
        <v>0</v>
      </c>
      <c r="I48" s="14">
        <f>SUM(Tbl_Sonstiges[Spalte10])</f>
        <v>0</v>
      </c>
      <c r="J48" s="14">
        <f>SUM(Tbl_Sonstiges[Spalte11])</f>
        <v>0</v>
      </c>
      <c r="K48" s="14">
        <f>SUM(Tbl_Sonstiges[Spalte12])</f>
        <v>0</v>
      </c>
      <c r="L48" s="14">
        <f>SUM(Tbl_Sonstiges[Spalte13])</f>
        <v>0</v>
      </c>
      <c r="M48" s="14">
        <f>SUM(Tbl_Sonstiges[Spalte14])</f>
        <v>0</v>
      </c>
    </row>
    <row r="49" spans="1:13 16383:16383" ht="15" thickTop="1" x14ac:dyDescent="0.3">
      <c r="A49" s="11" t="s">
        <v>27</v>
      </c>
      <c r="B49" s="11" t="s">
        <v>154</v>
      </c>
    </row>
    <row r="50" spans="1:13 16383:16383" customFormat="1" x14ac:dyDescent="0.3">
      <c r="A50" s="11" t="s">
        <v>27</v>
      </c>
      <c r="B50" s="11" t="s">
        <v>153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XFC50" t="e">
        <f>SUBTOTAL(103,#REF!)</f>
        <v>#REF!</v>
      </c>
    </row>
    <row r="51" spans="1:13 16383:16383" customForma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3" spans="1:13 16383:16383" customForma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 16383:16383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 16383:16383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 16383:16383" ht="18" thickBot="1" x14ac:dyDescent="0.4">
      <c r="A56" s="18" t="s">
        <v>1</v>
      </c>
      <c r="B56" s="18" t="s">
        <v>150</v>
      </c>
      <c r="C56" s="14">
        <f>SUM(Tbl_Sonstiges20[Spalte4])</f>
        <v>0</v>
      </c>
      <c r="D56" s="14">
        <f>SUM(Tbl_Sonstiges20[Spalte5])</f>
        <v>0</v>
      </c>
      <c r="E56" s="14">
        <f>SUM(Tbl_Sonstiges20[Spalte6])</f>
        <v>0</v>
      </c>
      <c r="F56" s="14">
        <f>SUM(Tbl_Sonstiges20[Spalte7])</f>
        <v>0</v>
      </c>
      <c r="G56" s="14">
        <f>SUM(Tbl_Sonstiges20[Spalte8])</f>
        <v>0</v>
      </c>
      <c r="H56" s="14">
        <f>SUM(Tbl_Sonstiges20[Spalte9])</f>
        <v>0</v>
      </c>
      <c r="I56" s="14">
        <f>SUM(Tbl_Sonstiges20[Spalte10])</f>
        <v>0</v>
      </c>
      <c r="J56" s="14">
        <f>SUM(Tbl_Sonstiges20[Spalte11])</f>
        <v>0</v>
      </c>
      <c r="K56" s="14">
        <f>SUM(Tbl_Sonstiges20[Spalte12])</f>
        <v>0</v>
      </c>
      <c r="L56" s="14">
        <f>SUM(Tbl_Sonstiges20[Spalte13])</f>
        <v>0</v>
      </c>
      <c r="M56" s="14">
        <f>SUM(Tbl_Sonstiges20[Spalte14])</f>
        <v>0</v>
      </c>
    </row>
    <row r="57" spans="1:13 16383:16383" ht="15" thickTop="1" x14ac:dyDescent="0.3">
      <c r="A57" s="11" t="s">
        <v>155</v>
      </c>
      <c r="B57" s="11" t="s">
        <v>18</v>
      </c>
    </row>
    <row r="58" spans="1:13 16383:16383" customFormat="1" x14ac:dyDescent="0.3">
      <c r="A58" s="11" t="s">
        <v>156</v>
      </c>
      <c r="B58" s="11" t="s">
        <v>157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XFC58" t="e">
        <f>SUBTOTAL(103,#REF!)</f>
        <v>#REF!</v>
      </c>
    </row>
    <row r="59" spans="1:13 16383:16383" customForma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1" spans="1:13 16383:16383" customForma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 16383:16383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 16383:16383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 16383:16383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 16383:16383" ht="18" thickBot="1" x14ac:dyDescent="0.4">
      <c r="A65" s="18" t="s">
        <v>38</v>
      </c>
      <c r="B65" s="18" t="s">
        <v>39</v>
      </c>
      <c r="C65" s="14">
        <f>SUM(Tbl_Vertraege[Spalte4])</f>
        <v>0</v>
      </c>
      <c r="D65" s="14">
        <f>SUM(Tbl_Vertraege[Spalte5])</f>
        <v>0</v>
      </c>
      <c r="E65" s="14">
        <f>SUM(Tbl_Vertraege[Spalte6])</f>
        <v>0</v>
      </c>
      <c r="F65" s="14">
        <f>SUM(Tbl_Vertraege[Spalte7])</f>
        <v>0</v>
      </c>
      <c r="G65" s="14">
        <f>SUM(Tbl_Vertraege[Spalte8])</f>
        <v>0</v>
      </c>
      <c r="H65" s="14">
        <f>SUM(Tbl_Vertraege[Spalte9])</f>
        <v>0</v>
      </c>
      <c r="I65" s="14">
        <f>SUM(Tbl_Vertraege[Spalte10])</f>
        <v>0</v>
      </c>
      <c r="J65" s="14">
        <f>SUM(Tbl_Vertraege[Spalte11])</f>
        <v>0</v>
      </c>
      <c r="K65" s="14">
        <f>SUM(Tbl_Vertraege[Spalte12])</f>
        <v>0</v>
      </c>
      <c r="L65" s="14">
        <f>SUM(Tbl_Vertraege[Spalte13])</f>
        <v>0</v>
      </c>
      <c r="M65" s="14">
        <f>SUM(Tbl_Vertraege[Spalte14])</f>
        <v>0</v>
      </c>
    </row>
    <row r="66" spans="1:13 16383:16383" ht="15" thickTop="1" x14ac:dyDescent="0.3">
      <c r="A66" s="11" t="s">
        <v>30</v>
      </c>
      <c r="B66" s="11" t="s">
        <v>33</v>
      </c>
    </row>
    <row r="67" spans="1:13 16383:16383" x14ac:dyDescent="0.3">
      <c r="A67" s="11" t="s">
        <v>31</v>
      </c>
      <c r="B67" s="11" t="s">
        <v>34</v>
      </c>
    </row>
    <row r="68" spans="1:13 16383:16383" customFormat="1" x14ac:dyDescent="0.3">
      <c r="A68" s="11" t="s">
        <v>32</v>
      </c>
      <c r="B68" s="11" t="s">
        <v>35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XFC68" t="e">
        <f>SUBTOTAL(103,#REF!)</f>
        <v>#REF!</v>
      </c>
    </row>
    <row r="69" spans="1:13 16383:16383" customFormat="1" x14ac:dyDescent="0.3">
      <c r="A69" s="11" t="s">
        <v>40</v>
      </c>
      <c r="B69" s="11" t="s">
        <v>41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 16383:16383" customForma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 16383:16383" customForma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5"/>
      <c r="K71" s="15"/>
      <c r="L71" s="15"/>
      <c r="M71" s="15"/>
    </row>
    <row r="73" spans="1:13 16383:16383" ht="18" thickBot="1" x14ac:dyDescent="0.4">
      <c r="A73" s="18" t="s">
        <v>15</v>
      </c>
      <c r="B73" s="18" t="s">
        <v>184</v>
      </c>
      <c r="C73" s="14">
        <f>SUM(Tbl_Gueter[Spalte4])</f>
        <v>0</v>
      </c>
      <c r="D73" s="14">
        <f>SUM(Tbl_Gueter[Spalte5])</f>
        <v>0</v>
      </c>
      <c r="E73" s="14">
        <f>SUM(Tbl_Gueter[Spalte6])</f>
        <v>0</v>
      </c>
      <c r="F73" s="14">
        <f>SUM(Tbl_Gueter[Spalte7])</f>
        <v>0</v>
      </c>
      <c r="G73" s="14">
        <f>SUM(Tbl_Gueter[Spalte8])</f>
        <v>0</v>
      </c>
      <c r="H73" s="14">
        <f>SUM(Tbl_Gueter[Spalte9])</f>
        <v>0</v>
      </c>
      <c r="I73" s="14">
        <f>SUM(Tbl_Gueter[Spalte10])</f>
        <v>0</v>
      </c>
      <c r="J73" s="14">
        <f>SUM(Tbl_Gueter[Spalte11])</f>
        <v>0</v>
      </c>
      <c r="K73" s="14">
        <f>SUM(Tbl_Gueter[Spalte12])</f>
        <v>0</v>
      </c>
      <c r="L73" s="14">
        <f>SUM(Tbl_Gueter[Spalte13])</f>
        <v>0</v>
      </c>
      <c r="M73" s="14">
        <f>SUM(Tbl_Gueter[Spalte14])</f>
        <v>0</v>
      </c>
    </row>
    <row r="74" spans="1:13 16383:16383" ht="15" thickTop="1" x14ac:dyDescent="0.3">
      <c r="A74" s="11" t="s">
        <v>3</v>
      </c>
      <c r="B74" s="11" t="s">
        <v>116</v>
      </c>
    </row>
    <row r="75" spans="1:13 16383:16383" s="15" customFormat="1" x14ac:dyDescent="0.3">
      <c r="A75" s="11" t="s">
        <v>11</v>
      </c>
      <c r="B75" s="11" t="s">
        <v>12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7" spans="1:13 16383:16383" customForma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XFC77" t="e">
        <f>SUBTOTAL(103,#REF!)</f>
        <v>#REF!</v>
      </c>
    </row>
    <row r="78" spans="1:13 16383:16383" s="15" customForma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 16383:16383" x14ac:dyDescent="0.3">
      <c r="J79" s="15"/>
      <c r="K79" s="15"/>
      <c r="L79" s="15"/>
      <c r="M79" s="15"/>
    </row>
    <row r="80" spans="1:13 16383:16383" customForma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 16383:16383" ht="18" thickBot="1" x14ac:dyDescent="0.4">
      <c r="A81" s="19" t="s">
        <v>0</v>
      </c>
      <c r="B81" s="19" t="s">
        <v>42</v>
      </c>
      <c r="C81" s="20">
        <f>SUM(Tbl_Verbindlichkeiten[Spalte4])</f>
        <v>0</v>
      </c>
      <c r="D81" s="20">
        <f>SUM(Tbl_Verbindlichkeiten[Spalte5])</f>
        <v>0</v>
      </c>
      <c r="E81" s="20">
        <f>SUM(Tbl_Verbindlichkeiten[Spalte6])</f>
        <v>0</v>
      </c>
      <c r="F81" s="20">
        <f>SUM(Tbl_Verbindlichkeiten[Spalte7])</f>
        <v>0</v>
      </c>
      <c r="G81" s="20">
        <f>SUM(Tbl_Verbindlichkeiten[Spalte8])</f>
        <v>0</v>
      </c>
      <c r="H81" s="20">
        <f>SUM(Tbl_Verbindlichkeiten[Spalte9])</f>
        <v>0</v>
      </c>
      <c r="I81" s="20">
        <f>SUM(Tbl_Verbindlichkeiten[Spalte10])</f>
        <v>0</v>
      </c>
      <c r="J81" s="20">
        <f>SUM(Tbl_Verbindlichkeiten[Spalte11])</f>
        <v>0</v>
      </c>
      <c r="K81" s="20">
        <f>SUM(Tbl_Verbindlichkeiten[Spalte12])</f>
        <v>0</v>
      </c>
      <c r="L81" s="20">
        <f>SUM(Tbl_Verbindlichkeiten[Spalte13])</f>
        <v>0</v>
      </c>
      <c r="M81" s="20">
        <f>SUM(Tbl_Verbindlichkeiten[Spalte14])</f>
        <v>0</v>
      </c>
    </row>
    <row r="82" spans="1:13 16383:16383" ht="15" thickTop="1" x14ac:dyDescent="0.3">
      <c r="A82" s="11" t="s">
        <v>20</v>
      </c>
      <c r="B82" s="11" t="s">
        <v>36</v>
      </c>
    </row>
    <row r="83" spans="1:13 16383:16383" s="15" customFormat="1" x14ac:dyDescent="0.3">
      <c r="A83" s="11" t="s">
        <v>22</v>
      </c>
      <c r="B83" s="11" t="s">
        <v>37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 16383:16383" s="15" customForma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 16383:16383" s="15" customForma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 16383:16383" s="4" customForma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XFC86" s="4" t="e">
        <f>SUBTOTAL(103,#REF!)</f>
        <v>#REF!</v>
      </c>
    </row>
    <row r="87" spans="1:13 16383:16383" s="15" customForma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 16383:16383" x14ac:dyDescent="0.3">
      <c r="A88" s="12"/>
      <c r="C88" s="12"/>
      <c r="D88" s="12"/>
      <c r="E88" s="12"/>
      <c r="F88" s="12"/>
    </row>
    <row r="89" spans="1:13 16383:16383" customFormat="1" x14ac:dyDescent="0.3">
      <c r="A89" s="12"/>
      <c r="B89" s="11"/>
      <c r="C89" s="12"/>
      <c r="D89" s="12"/>
      <c r="E89" s="12"/>
      <c r="F89" s="12"/>
      <c r="G89" s="11"/>
      <c r="H89" s="11"/>
      <c r="I89" s="11"/>
      <c r="J89" s="11"/>
      <c r="K89" s="11"/>
      <c r="L89" s="11"/>
      <c r="M89" s="11"/>
    </row>
    <row r="90" spans="1:13 16383:16383" x14ac:dyDescent="0.3">
      <c r="A90" s="12"/>
      <c r="C90" s="12"/>
      <c r="D90" s="12"/>
      <c r="E90" s="12"/>
      <c r="F90" s="12"/>
    </row>
    <row r="91" spans="1:13 16383:16383" x14ac:dyDescent="0.3">
      <c r="A91" s="12"/>
      <c r="C91" s="12"/>
      <c r="D91" s="12"/>
      <c r="E91" s="12"/>
      <c r="F91" s="12"/>
    </row>
    <row r="92" spans="1:13 16383:16383" x14ac:dyDescent="0.3">
      <c r="A92" s="12"/>
      <c r="C92" s="12"/>
      <c r="D92" s="12"/>
      <c r="E92" s="12"/>
      <c r="F92" s="12"/>
    </row>
    <row r="93" spans="1:13 16383:16383" x14ac:dyDescent="0.3">
      <c r="A93" s="12"/>
      <c r="B93" s="16"/>
      <c r="C93" s="12"/>
      <c r="D93" s="12"/>
      <c r="E93" s="12"/>
      <c r="F93" s="12"/>
    </row>
    <row r="94" spans="1:13 16383:16383" x14ac:dyDescent="0.3">
      <c r="A94" s="12"/>
      <c r="B94" s="16"/>
      <c r="C94" s="15"/>
      <c r="D94" s="15"/>
      <c r="E94" s="15"/>
      <c r="F94" s="15"/>
    </row>
    <row r="95" spans="1:13 16383:16383" customFormat="1" x14ac:dyDescent="0.3">
      <c r="A95" s="12"/>
      <c r="B95" s="11"/>
      <c r="C95" s="12"/>
      <c r="D95" s="12"/>
      <c r="E95" s="12"/>
      <c r="F95" s="12"/>
      <c r="G95" s="11"/>
      <c r="H95" s="11"/>
      <c r="I95" s="11"/>
      <c r="J95" s="11"/>
      <c r="K95" s="11"/>
      <c r="L95" s="11"/>
      <c r="M95" s="11"/>
      <c r="XFC95" t="e">
        <f>SUBTOTAL(103,#REF!)</f>
        <v>#REF!</v>
      </c>
    </row>
    <row r="96" spans="1:13 16383:16383" x14ac:dyDescent="0.3">
      <c r="A96" s="15"/>
      <c r="B96" s="17"/>
      <c r="C96" s="15"/>
      <c r="D96" s="15"/>
      <c r="E96" s="15"/>
      <c r="F96" s="15"/>
    </row>
    <row r="100" spans="4:6" x14ac:dyDescent="0.3">
      <c r="D100" s="12"/>
      <c r="E100" s="12"/>
    </row>
    <row r="101" spans="4:6" x14ac:dyDescent="0.3">
      <c r="D101" s="12"/>
      <c r="E101" s="12"/>
      <c r="F101" s="12"/>
    </row>
    <row r="102" spans="4:6" x14ac:dyDescent="0.3">
      <c r="D102" s="12"/>
      <c r="E102" s="12"/>
      <c r="F102" s="12"/>
    </row>
    <row r="103" spans="4:6" x14ac:dyDescent="0.3">
      <c r="D103" s="12"/>
      <c r="E103" s="12"/>
    </row>
    <row r="104" spans="4:6" x14ac:dyDescent="0.3">
      <c r="D104" s="12"/>
      <c r="E104" s="12"/>
    </row>
    <row r="105" spans="4:6" x14ac:dyDescent="0.3">
      <c r="D105" s="12"/>
      <c r="E105" s="12"/>
    </row>
  </sheetData>
  <phoneticPr fontId="8" type="noConversion"/>
  <pageMargins left="0.7" right="0.7" top="0.78740157499999996" bottom="0.78740157499999996" header="0.3" footer="0.3"/>
  <pageSetup paperSize="9" scale="40" orientation="landscape" horizontalDpi="180" verticalDpi="18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344B-DE23-4AB0-BC35-5DD944441EA0}">
  <sheetPr>
    <tabColor theme="5"/>
  </sheetPr>
  <dimension ref="A1:N40"/>
  <sheetViews>
    <sheetView showGridLines="0" workbookViewId="0"/>
  </sheetViews>
  <sheetFormatPr baseColWidth="10" defaultRowHeight="14.4" x14ac:dyDescent="0.3"/>
  <cols>
    <col min="1" max="1" width="28.6640625" customWidth="1"/>
    <col min="2" max="2" width="14.33203125" bestFit="1" customWidth="1"/>
    <col min="3" max="3" width="16.109375" bestFit="1" customWidth="1"/>
    <col min="4" max="8" width="14.21875" bestFit="1" customWidth="1"/>
    <col min="9" max="9" width="16.109375" bestFit="1" customWidth="1"/>
    <col min="10" max="12" width="14.21875" bestFit="1" customWidth="1"/>
  </cols>
  <sheetData>
    <row r="1" spans="1:14" ht="23.4" x14ac:dyDescent="0.45">
      <c r="A1" s="53" t="str">
        <f>CONCATENATE("Vermögensüberblick von ",Einstellungen!B4)</f>
        <v>Vermögensüberblick von Muster</v>
      </c>
      <c r="B1" s="53"/>
    </row>
    <row r="2" spans="1:14" ht="15" thickBot="1" x14ac:dyDescent="0.35"/>
    <row r="3" spans="1:14" x14ac:dyDescent="0.3">
      <c r="A3" s="25"/>
      <c r="B3" s="26" t="str">
        <f>Vermögensaufstellung!C3</f>
        <v>Beispiel</v>
      </c>
      <c r="C3" s="26">
        <f>Vermögensaufstellung!D3</f>
        <v>45962</v>
      </c>
      <c r="D3" s="26">
        <f>Vermögensaufstellung!E3</f>
        <v>46022</v>
      </c>
      <c r="E3" s="26">
        <f>Vermögensaufstellung!F3</f>
        <v>46387</v>
      </c>
      <c r="F3" s="26">
        <f>Vermögensaufstellung!G3</f>
        <v>46752</v>
      </c>
      <c r="G3" s="26">
        <f>Vermögensaufstellung!H3</f>
        <v>47118</v>
      </c>
      <c r="H3" s="26">
        <f>Vermögensaufstellung!I3</f>
        <v>47483</v>
      </c>
      <c r="I3" s="26">
        <f>Vermögensaufstellung!J3</f>
        <v>47848</v>
      </c>
      <c r="J3" s="26">
        <f>Vermögensaufstellung!K3</f>
        <v>48213</v>
      </c>
      <c r="K3" s="26">
        <f>Vermögensaufstellung!L3</f>
        <v>48579</v>
      </c>
      <c r="L3" s="26">
        <f>Vermögensaufstellung!M3</f>
        <v>48944</v>
      </c>
      <c r="M3" s="24"/>
      <c r="N3" s="24"/>
    </row>
    <row r="4" spans="1:14" x14ac:dyDescent="0.3">
      <c r="A4" t="str">
        <f>Vermögensaufstellung!A8</f>
        <v>Liquidität</v>
      </c>
      <c r="B4" s="10">
        <f>Vermögensaufstellung!C8</f>
        <v>2600</v>
      </c>
      <c r="C4" s="10">
        <f>Vermögensaufstellung!D8</f>
        <v>0</v>
      </c>
      <c r="D4" s="10">
        <f>Vermögensaufstellung!E8</f>
        <v>0</v>
      </c>
      <c r="E4" s="10">
        <f>Vermögensaufstellung!F8</f>
        <v>0</v>
      </c>
      <c r="F4" s="10">
        <f>Vermögensaufstellung!G8</f>
        <v>0</v>
      </c>
      <c r="G4" s="10">
        <f>Vermögensaufstellung!H8</f>
        <v>0</v>
      </c>
      <c r="H4" s="10">
        <f>Vermögensaufstellung!I8</f>
        <v>0</v>
      </c>
      <c r="I4" s="10">
        <f>Vermögensaufstellung!J8</f>
        <v>0</v>
      </c>
      <c r="J4" s="10">
        <f>Vermögensaufstellung!K8</f>
        <v>0</v>
      </c>
      <c r="K4" s="10">
        <f>Vermögensaufstellung!L8</f>
        <v>0</v>
      </c>
      <c r="L4" s="10">
        <f>Vermögensaufstellung!M8</f>
        <v>0</v>
      </c>
    </row>
    <row r="5" spans="1:14" x14ac:dyDescent="0.3">
      <c r="A5" t="str">
        <f>Vermögensaufstellung!A16</f>
        <v>Geldmarkt</v>
      </c>
      <c r="B5" s="10">
        <f>Vermögensaufstellung!C16</f>
        <v>0</v>
      </c>
      <c r="C5" s="10">
        <f>Vermögensaufstellung!D16</f>
        <v>0</v>
      </c>
      <c r="D5" s="10">
        <f>Vermögensaufstellung!E16</f>
        <v>0</v>
      </c>
      <c r="E5" s="10">
        <f>Vermögensaufstellung!F16</f>
        <v>0</v>
      </c>
      <c r="F5" s="10">
        <f>Vermögensaufstellung!G16</f>
        <v>0</v>
      </c>
      <c r="G5" s="10">
        <f>Vermögensaufstellung!H16</f>
        <v>0</v>
      </c>
      <c r="H5" s="10">
        <f>Vermögensaufstellung!I16</f>
        <v>0</v>
      </c>
      <c r="I5" s="10">
        <f>Vermögensaufstellung!J16</f>
        <v>0</v>
      </c>
      <c r="J5" s="10">
        <f>Vermögensaufstellung!K16</f>
        <v>0</v>
      </c>
      <c r="K5" s="10">
        <f>Vermögensaufstellung!L16</f>
        <v>0</v>
      </c>
      <c r="L5" s="10">
        <f>Vermögensaufstellung!M16</f>
        <v>0</v>
      </c>
    </row>
    <row r="6" spans="1:14" x14ac:dyDescent="0.3">
      <c r="A6" t="str">
        <f>Vermögensaufstellung!A24</f>
        <v>Börse</v>
      </c>
      <c r="B6" s="10">
        <f>Vermögensaufstellung!C24</f>
        <v>1000</v>
      </c>
      <c r="C6" s="10">
        <f>Vermögensaufstellung!D24</f>
        <v>0</v>
      </c>
      <c r="D6" s="10">
        <f>Vermögensaufstellung!E24</f>
        <v>0</v>
      </c>
      <c r="E6" s="10">
        <f>Vermögensaufstellung!F24</f>
        <v>0</v>
      </c>
      <c r="F6" s="10">
        <f>Vermögensaufstellung!G24</f>
        <v>0</v>
      </c>
      <c r="G6" s="10">
        <f>Vermögensaufstellung!H24</f>
        <v>0</v>
      </c>
      <c r="H6" s="10">
        <f>Vermögensaufstellung!I24</f>
        <v>0</v>
      </c>
      <c r="I6" s="10">
        <f>Vermögensaufstellung!J24</f>
        <v>0</v>
      </c>
      <c r="J6" s="10">
        <f>Vermögensaufstellung!K24</f>
        <v>0</v>
      </c>
      <c r="K6" s="10">
        <f>Vermögensaufstellung!L24</f>
        <v>0</v>
      </c>
      <c r="L6" s="10">
        <f>Vermögensaufstellung!M24</f>
        <v>0</v>
      </c>
    </row>
    <row r="7" spans="1:14" x14ac:dyDescent="0.3">
      <c r="A7" t="str">
        <f>Vermögensaufstellung!A32</f>
        <v>Rohstoffe</v>
      </c>
      <c r="B7" s="10">
        <f>Vermögensaufstellung!C32</f>
        <v>0</v>
      </c>
      <c r="C7" s="10">
        <f>Vermögensaufstellung!D32</f>
        <v>0</v>
      </c>
      <c r="D7" s="10">
        <f>Vermögensaufstellung!E32</f>
        <v>0</v>
      </c>
      <c r="E7" s="10">
        <f>Vermögensaufstellung!F32</f>
        <v>0</v>
      </c>
      <c r="F7" s="10">
        <f>Vermögensaufstellung!G32</f>
        <v>0</v>
      </c>
      <c r="G7" s="10">
        <f>Vermögensaufstellung!H32</f>
        <v>0</v>
      </c>
      <c r="H7" s="10">
        <f>Vermögensaufstellung!I32</f>
        <v>0</v>
      </c>
      <c r="I7" s="10">
        <f>Vermögensaufstellung!J32</f>
        <v>0</v>
      </c>
      <c r="J7" s="10">
        <f>Vermögensaufstellung!K32</f>
        <v>0</v>
      </c>
      <c r="K7" s="10">
        <f>Vermögensaufstellung!L32</f>
        <v>0</v>
      </c>
      <c r="L7" s="10">
        <f>Vermögensaufstellung!M32</f>
        <v>0</v>
      </c>
    </row>
    <row r="8" spans="1:14" x14ac:dyDescent="0.3">
      <c r="A8" t="str">
        <f>Vermögensaufstellung!A40</f>
        <v>Immobilien</v>
      </c>
      <c r="B8" s="10">
        <f>Vermögensaufstellung!C40</f>
        <v>0</v>
      </c>
      <c r="C8" s="10">
        <f>Vermögensaufstellung!D40</f>
        <v>0</v>
      </c>
      <c r="D8" s="10">
        <f>Vermögensaufstellung!E40</f>
        <v>0</v>
      </c>
      <c r="E8" s="10">
        <f>Vermögensaufstellung!F40</f>
        <v>0</v>
      </c>
      <c r="F8" s="10">
        <f>Vermögensaufstellung!G40</f>
        <v>0</v>
      </c>
      <c r="G8" s="10">
        <f>Vermögensaufstellung!H40</f>
        <v>0</v>
      </c>
      <c r="H8" s="10">
        <f>Vermögensaufstellung!I40</f>
        <v>0</v>
      </c>
      <c r="I8" s="10">
        <f>Vermögensaufstellung!J40</f>
        <v>0</v>
      </c>
      <c r="J8" s="10">
        <f>Vermögensaufstellung!K40</f>
        <v>0</v>
      </c>
      <c r="K8" s="10">
        <f>Vermögensaufstellung!L40</f>
        <v>0</v>
      </c>
      <c r="L8" s="10">
        <f>Vermögensaufstellung!M40</f>
        <v>0</v>
      </c>
    </row>
    <row r="9" spans="1:14" x14ac:dyDescent="0.3">
      <c r="A9" t="str">
        <f>Vermögensaufstellung!A48</f>
        <v>Kryptowährungen</v>
      </c>
      <c r="B9" s="10">
        <f>Vermögensaufstellung!C48</f>
        <v>0</v>
      </c>
      <c r="C9" s="10">
        <f>Vermögensaufstellung!D48</f>
        <v>0</v>
      </c>
      <c r="D9" s="10">
        <f>Vermögensaufstellung!E48</f>
        <v>0</v>
      </c>
      <c r="E9" s="10">
        <f>Vermögensaufstellung!F48</f>
        <v>0</v>
      </c>
      <c r="F9" s="10">
        <f>Vermögensaufstellung!G48</f>
        <v>0</v>
      </c>
      <c r="G9" s="10">
        <f>Vermögensaufstellung!H48</f>
        <v>0</v>
      </c>
      <c r="H9" s="10">
        <f>Vermögensaufstellung!I48</f>
        <v>0</v>
      </c>
      <c r="I9" s="10">
        <f>Vermögensaufstellung!J48</f>
        <v>0</v>
      </c>
      <c r="J9" s="10">
        <f>Vermögensaufstellung!K48</f>
        <v>0</v>
      </c>
      <c r="K9" s="10">
        <f>Vermögensaufstellung!L48</f>
        <v>0</v>
      </c>
      <c r="L9" s="10">
        <f>Vermögensaufstellung!M48</f>
        <v>0</v>
      </c>
    </row>
    <row r="10" spans="1:14" x14ac:dyDescent="0.3">
      <c r="A10" t="str">
        <f>Vermögensaufstellung!A56</f>
        <v>Sonstiges</v>
      </c>
      <c r="B10" s="10">
        <f>Vermögensaufstellung!C56</f>
        <v>0</v>
      </c>
      <c r="C10" s="10">
        <f>Vermögensaufstellung!D56</f>
        <v>0</v>
      </c>
      <c r="D10" s="10">
        <f>Vermögensaufstellung!E56</f>
        <v>0</v>
      </c>
      <c r="E10" s="10">
        <f>Vermögensaufstellung!F56</f>
        <v>0</v>
      </c>
      <c r="F10" s="10">
        <f>Vermögensaufstellung!G56</f>
        <v>0</v>
      </c>
      <c r="G10" s="10">
        <f>Vermögensaufstellung!H56</f>
        <v>0</v>
      </c>
      <c r="H10" s="10">
        <f>Vermögensaufstellung!I56</f>
        <v>0</v>
      </c>
      <c r="I10" s="10">
        <f>Vermögensaufstellung!J56</f>
        <v>0</v>
      </c>
      <c r="J10" s="10">
        <f>Vermögensaufstellung!K56</f>
        <v>0</v>
      </c>
      <c r="K10" s="10">
        <f>Vermögensaufstellung!L56</f>
        <v>0</v>
      </c>
      <c r="L10" s="10">
        <f>Vermögensaufstellung!M56</f>
        <v>0</v>
      </c>
    </row>
    <row r="11" spans="1:14" x14ac:dyDescent="0.3">
      <c r="A11" t="str">
        <f>Vermögensaufstellung!A65</f>
        <v>Verträge</v>
      </c>
      <c r="B11" s="10">
        <f>Vermögensaufstellung!C65</f>
        <v>0</v>
      </c>
      <c r="C11" s="10">
        <f>Vermögensaufstellung!D65</f>
        <v>0</v>
      </c>
      <c r="D11" s="10">
        <f>Vermögensaufstellung!E65</f>
        <v>0</v>
      </c>
      <c r="E11" s="10">
        <f>Vermögensaufstellung!F65</f>
        <v>0</v>
      </c>
      <c r="F11" s="10">
        <f>Vermögensaufstellung!G65</f>
        <v>0</v>
      </c>
      <c r="G11" s="10">
        <f>Vermögensaufstellung!H65</f>
        <v>0</v>
      </c>
      <c r="H11" s="10">
        <f>Vermögensaufstellung!I65</f>
        <v>0</v>
      </c>
      <c r="I11" s="10">
        <f>Vermögensaufstellung!J65</f>
        <v>0</v>
      </c>
      <c r="J11" s="10">
        <f>Vermögensaufstellung!K65</f>
        <v>0</v>
      </c>
      <c r="K11" s="10">
        <f>Vermögensaufstellung!L65</f>
        <v>0</v>
      </c>
      <c r="L11" s="10">
        <f>Vermögensaufstellung!M65</f>
        <v>0</v>
      </c>
    </row>
    <row r="12" spans="1:14" x14ac:dyDescent="0.3">
      <c r="A12" t="str">
        <f>Vermögensaufstellung!A73</f>
        <v>Güter</v>
      </c>
      <c r="B12" s="10">
        <f>Vermögensaufstellung!C73</f>
        <v>0</v>
      </c>
      <c r="C12" s="10">
        <f>Vermögensaufstellung!D73</f>
        <v>0</v>
      </c>
      <c r="D12" s="10">
        <f>Vermögensaufstellung!E73</f>
        <v>0</v>
      </c>
      <c r="E12" s="10">
        <f>Vermögensaufstellung!F73</f>
        <v>0</v>
      </c>
      <c r="F12" s="10">
        <f>Vermögensaufstellung!G73</f>
        <v>0</v>
      </c>
      <c r="G12" s="10">
        <f>Vermögensaufstellung!H73</f>
        <v>0</v>
      </c>
      <c r="H12" s="10">
        <f>Vermögensaufstellung!I73</f>
        <v>0</v>
      </c>
      <c r="I12" s="10">
        <f>Vermögensaufstellung!J73</f>
        <v>0</v>
      </c>
      <c r="J12" s="10">
        <f>Vermögensaufstellung!K73</f>
        <v>0</v>
      </c>
      <c r="K12" s="10">
        <f>Vermögensaufstellung!L73</f>
        <v>0</v>
      </c>
      <c r="L12" s="10">
        <f>Vermögensaufstellung!M73</f>
        <v>0</v>
      </c>
    </row>
    <row r="13" spans="1:14" x14ac:dyDescent="0.3">
      <c r="A13" t="s">
        <v>2</v>
      </c>
      <c r="B13" s="10">
        <f>SUBTOTAL(109,Ueberblick[Spalte2])</f>
        <v>3600</v>
      </c>
      <c r="C13" s="10">
        <f>SUBTOTAL(109,Ueberblick[Spalte3])</f>
        <v>0</v>
      </c>
      <c r="D13" s="10">
        <f>SUBTOTAL(109,Ueberblick[Spalte4])</f>
        <v>0</v>
      </c>
      <c r="E13" s="10">
        <f>SUBTOTAL(109,Ueberblick[Spalte5])</f>
        <v>0</v>
      </c>
      <c r="F13" s="10">
        <f>SUBTOTAL(109,Ueberblick[Spalte6])</f>
        <v>0</v>
      </c>
      <c r="G13" s="10">
        <f>SUBTOTAL(109,Ueberblick[Spalte7])</f>
        <v>0</v>
      </c>
      <c r="H13" s="10">
        <f>SUBTOTAL(109,Ueberblick[Spalte8])</f>
        <v>0</v>
      </c>
      <c r="I13" s="10">
        <f>SUBTOTAL(109,Ueberblick[Spalte9])</f>
        <v>0</v>
      </c>
      <c r="J13" s="10">
        <f>SUBTOTAL(109,Ueberblick[Spalte10])</f>
        <v>0</v>
      </c>
      <c r="K13" s="10">
        <f>SUBTOTAL(109,Ueberblick[Spalte11])</f>
        <v>0</v>
      </c>
      <c r="L13" s="10">
        <f>SUBTOTAL(109,Ueberblick[Spalte12])</f>
        <v>0</v>
      </c>
    </row>
    <row r="14" spans="1:14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x14ac:dyDescent="0.3">
      <c r="A15" s="2" t="s">
        <v>136</v>
      </c>
      <c r="B15" s="10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4" x14ac:dyDescent="0.3">
      <c r="B16" s="10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2" x14ac:dyDescent="0.3">
      <c r="B17" s="10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9" spans="1:12" x14ac:dyDescent="0.3">
      <c r="A19" s="2" t="s">
        <v>135</v>
      </c>
      <c r="B19" s="45" t="s">
        <v>111</v>
      </c>
      <c r="C19" s="33" t="s">
        <v>138</v>
      </c>
      <c r="D19" s="45" t="s">
        <v>111</v>
      </c>
    </row>
    <row r="21" spans="1:12" x14ac:dyDescent="0.3">
      <c r="A21" t="str">
        <f>A4</f>
        <v>Liquidität</v>
      </c>
      <c r="B21" s="11">
        <f>HLOOKUP(B$19,$B$3:$L$13,2,FALSE)</f>
        <v>2600</v>
      </c>
      <c r="C21" s="5">
        <f>B21/$B$30</f>
        <v>0.72222222222222221</v>
      </c>
      <c r="D21" s="57">
        <f>HLOOKUP(D$19,$B$3:$L$13,2,FALSE)</f>
        <v>2600</v>
      </c>
      <c r="E21" s="5">
        <f>D21/$D$30</f>
        <v>0.72222222222222221</v>
      </c>
    </row>
    <row r="22" spans="1:12" x14ac:dyDescent="0.3">
      <c r="A22" t="str">
        <f>A5</f>
        <v>Geldmarkt</v>
      </c>
      <c r="B22" s="11">
        <f>HLOOKUP(B$19,$B$3:$L$13,3,FALSE)</f>
        <v>0</v>
      </c>
      <c r="C22" s="5">
        <f>B22/$B$30</f>
        <v>0</v>
      </c>
      <c r="D22" s="57">
        <f>HLOOKUP(D$19,$B$3:$L$13,3,FALSE)</f>
        <v>0</v>
      </c>
      <c r="E22" s="5">
        <f>D22/$D$30</f>
        <v>0</v>
      </c>
    </row>
    <row r="23" spans="1:12" x14ac:dyDescent="0.3">
      <c r="A23" t="str">
        <f>A6</f>
        <v>Börse</v>
      </c>
      <c r="B23" s="11">
        <f>HLOOKUP(B$19,$B$3:$L$13,4,FALSE)</f>
        <v>1000</v>
      </c>
      <c r="C23" s="5">
        <f>B23/$B$30</f>
        <v>0.27777777777777779</v>
      </c>
      <c r="D23" s="57">
        <f>HLOOKUP(D$19,$B$3:$L$13,4,FALSE)</f>
        <v>1000</v>
      </c>
      <c r="E23" s="5">
        <f>D23/$D$30</f>
        <v>0.27777777777777779</v>
      </c>
    </row>
    <row r="24" spans="1:12" x14ac:dyDescent="0.3">
      <c r="A24" t="str">
        <f>A7</f>
        <v>Rohstoffe</v>
      </c>
      <c r="B24" s="11">
        <f>HLOOKUP(B$19,$B$3:$L$13,5,FALSE)</f>
        <v>0</v>
      </c>
      <c r="C24" s="5">
        <f>B24/$B$30</f>
        <v>0</v>
      </c>
      <c r="D24" s="57">
        <f>HLOOKUP(D$19,$B$3:$L$13,5,FALSE)</f>
        <v>0</v>
      </c>
      <c r="E24" s="5">
        <f>D24/$D$30</f>
        <v>0</v>
      </c>
    </row>
    <row r="25" spans="1:12" x14ac:dyDescent="0.3">
      <c r="A25" t="str">
        <f>A8</f>
        <v>Immobilien</v>
      </c>
      <c r="B25" s="11">
        <f>HLOOKUP(B$19,$B$3:$L$13,6,FALSE)</f>
        <v>0</v>
      </c>
      <c r="C25" s="5">
        <f>B25/$B$30</f>
        <v>0</v>
      </c>
      <c r="D25" s="57">
        <f>HLOOKUP(D$19,$B$3:$L$13,6,FALSE)</f>
        <v>0</v>
      </c>
      <c r="E25" s="5">
        <f>D25/$D$30</f>
        <v>0</v>
      </c>
    </row>
    <row r="26" spans="1:12" x14ac:dyDescent="0.3">
      <c r="A26" t="str">
        <f>A9</f>
        <v>Kryptowährungen</v>
      </c>
      <c r="B26" s="11">
        <f>HLOOKUP(B$19,$B$3:$L$13,7,FALSE)</f>
        <v>0</v>
      </c>
      <c r="C26" s="5">
        <f>B26/$B$30</f>
        <v>0</v>
      </c>
      <c r="D26" s="57">
        <f>HLOOKUP(D$19,$B$3:$L$13,7,FALSE)</f>
        <v>0</v>
      </c>
      <c r="E26" s="5">
        <f>D26/$D$30</f>
        <v>0</v>
      </c>
    </row>
    <row r="27" spans="1:12" x14ac:dyDescent="0.3">
      <c r="A27" t="str">
        <f t="shared" ref="A27:A29" si="0">A10</f>
        <v>Sonstiges</v>
      </c>
      <c r="B27" s="11">
        <f>HLOOKUP(B$19,$B$3:$L$13,8,FALSE)</f>
        <v>0</v>
      </c>
      <c r="C27" s="5">
        <f t="shared" ref="C27:C28" si="1">B27/$B$30</f>
        <v>0</v>
      </c>
      <c r="D27" s="57">
        <f>HLOOKUP(D$19,$B$3:$L$13,8,FALSE)</f>
        <v>0</v>
      </c>
      <c r="E27" s="5">
        <f t="shared" ref="E27:E28" si="2">D27/$D$30</f>
        <v>0</v>
      </c>
    </row>
    <row r="28" spans="1:12" x14ac:dyDescent="0.3">
      <c r="A28" t="str">
        <f t="shared" si="0"/>
        <v>Verträge</v>
      </c>
      <c r="B28" s="11">
        <f>HLOOKUP(B$19,$B$3:$L$13,9,FALSE)</f>
        <v>0</v>
      </c>
      <c r="C28" s="5">
        <f t="shared" si="1"/>
        <v>0</v>
      </c>
      <c r="D28" s="57">
        <f>HLOOKUP(D$19,$B$3:$L$13,9,FALSE)</f>
        <v>0</v>
      </c>
      <c r="E28" s="5">
        <f t="shared" si="2"/>
        <v>0</v>
      </c>
    </row>
    <row r="29" spans="1:12" x14ac:dyDescent="0.3">
      <c r="A29" t="str">
        <f t="shared" si="0"/>
        <v>Güter</v>
      </c>
      <c r="B29" s="11">
        <f>HLOOKUP(B$19,$B$3:$L$13,10,FALSE)</f>
        <v>0</v>
      </c>
      <c r="C29" s="5">
        <f t="shared" ref="C29" si="3">B29/$B$30</f>
        <v>0</v>
      </c>
      <c r="D29" s="57">
        <f>HLOOKUP(D$19,$B$3:$L$13,10,FALSE)</f>
        <v>0</v>
      </c>
      <c r="E29" s="5">
        <f t="shared" ref="E29" si="4">D29/$D$30</f>
        <v>0</v>
      </c>
    </row>
    <row r="30" spans="1:12" x14ac:dyDescent="0.3">
      <c r="A30" t="str">
        <f t="shared" ref="A30" si="5">A13</f>
        <v>SUMME</v>
      </c>
      <c r="B30" s="11">
        <f>HLOOKUP(B$19,$B$3:$L$13,11,FALSE)</f>
        <v>3600</v>
      </c>
      <c r="C30" s="5"/>
      <c r="D30" s="57">
        <f>HLOOKUP(D$19,$B$3:$L$13,11,FALSE)</f>
        <v>3600</v>
      </c>
    </row>
    <row r="40" spans="3:9" ht="23.4" x14ac:dyDescent="0.45">
      <c r="C40" s="49" t="str">
        <f>B19</f>
        <v>Beispiel</v>
      </c>
      <c r="I40" s="49" t="str">
        <f>D19</f>
        <v>Beispiel</v>
      </c>
    </row>
  </sheetData>
  <dataValidations count="1">
    <dataValidation type="list" allowBlank="1" showInputMessage="1" showErrorMessage="1" sqref="B19 D19" xr:uid="{FD3A9A73-E439-468E-8110-DD681EC80740}">
      <formula1>$B$3:$L$3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5F18-D62D-42B8-87F2-7BD4BB847FCE}">
  <sheetPr>
    <tabColor rgb="FFC00000"/>
  </sheetPr>
  <dimension ref="A1:H89"/>
  <sheetViews>
    <sheetView workbookViewId="0"/>
  </sheetViews>
  <sheetFormatPr baseColWidth="10" defaultRowHeight="14.4" x14ac:dyDescent="0.3"/>
  <cols>
    <col min="1" max="1" width="11.5546875" style="2"/>
    <col min="2" max="2" width="7.5546875" style="2" customWidth="1"/>
    <col min="3" max="3" width="18.44140625" style="1" bestFit="1" customWidth="1"/>
    <col min="4" max="4" width="24.6640625" style="1" customWidth="1"/>
    <col min="5" max="5" width="25.6640625" style="7" customWidth="1"/>
    <col min="6" max="6" width="14" style="5" customWidth="1"/>
    <col min="7" max="7" width="17.77734375" style="1" customWidth="1"/>
    <col min="8" max="8" width="15.5546875" style="1" customWidth="1"/>
  </cols>
  <sheetData>
    <row r="1" spans="1:8" ht="23.4" x14ac:dyDescent="0.45">
      <c r="A1" s="35" t="str">
        <f>CONCATENATE("Vermögensaufbau von ", Einstellungen!B4)</f>
        <v>Vermögensaufbau von Muster</v>
      </c>
    </row>
    <row r="2" spans="1:8" x14ac:dyDescent="0.3">
      <c r="A2" s="56" t="s">
        <v>6</v>
      </c>
      <c r="B2" s="56"/>
      <c r="C2" s="56"/>
      <c r="D2" s="39">
        <v>10000</v>
      </c>
      <c r="E2" s="44" t="s">
        <v>141</v>
      </c>
    </row>
    <row r="3" spans="1:8" x14ac:dyDescent="0.3">
      <c r="A3" s="56" t="s">
        <v>124</v>
      </c>
      <c r="B3" s="56"/>
      <c r="C3" s="56"/>
      <c r="D3" s="40">
        <v>0.06</v>
      </c>
      <c r="E3" s="44" t="s">
        <v>142</v>
      </c>
    </row>
    <row r="4" spans="1:8" x14ac:dyDescent="0.3">
      <c r="A4" s="56" t="s">
        <v>125</v>
      </c>
      <c r="B4" s="56"/>
      <c r="C4" s="56"/>
      <c r="D4" s="39">
        <v>1000</v>
      </c>
      <c r="E4" s="44" t="s">
        <v>143</v>
      </c>
      <c r="F4" s="1"/>
    </row>
    <row r="5" spans="1:8" x14ac:dyDescent="0.3">
      <c r="A5" s="56" t="s">
        <v>130</v>
      </c>
      <c r="B5" s="56"/>
      <c r="C5" s="56"/>
      <c r="D5" s="41">
        <v>2.5000000000000001E-2</v>
      </c>
      <c r="E5" s="44" t="s">
        <v>131</v>
      </c>
      <c r="F5" s="1"/>
      <c r="H5" s="7"/>
    </row>
    <row r="6" spans="1:8" x14ac:dyDescent="0.3">
      <c r="A6" s="38" t="s">
        <v>126</v>
      </c>
      <c r="B6" s="38"/>
      <c r="C6" s="38"/>
      <c r="D6" s="42">
        <v>67</v>
      </c>
      <c r="E6" s="44" t="s">
        <v>132</v>
      </c>
      <c r="F6" s="1"/>
      <c r="H6" s="7"/>
    </row>
    <row r="7" spans="1:8" x14ac:dyDescent="0.3">
      <c r="A7" s="38" t="s">
        <v>129</v>
      </c>
      <c r="B7" s="38"/>
      <c r="C7" s="38"/>
      <c r="D7" s="43">
        <v>5000</v>
      </c>
      <c r="E7" s="44" t="s">
        <v>133</v>
      </c>
      <c r="F7" s="1"/>
      <c r="H7" s="7"/>
    </row>
    <row r="9" spans="1:8" s="2" customFormat="1" x14ac:dyDescent="0.3">
      <c r="A9" s="2" t="s">
        <v>93</v>
      </c>
      <c r="B9" s="2" t="s">
        <v>14</v>
      </c>
      <c r="C9" s="3" t="s">
        <v>6</v>
      </c>
      <c r="D9" s="3" t="s">
        <v>128</v>
      </c>
      <c r="E9" s="9" t="s">
        <v>139</v>
      </c>
      <c r="F9" s="6" t="s">
        <v>5</v>
      </c>
      <c r="G9" s="3" t="s">
        <v>127</v>
      </c>
      <c r="H9" s="3" t="s">
        <v>7</v>
      </c>
    </row>
    <row r="10" spans="1:8" x14ac:dyDescent="0.3">
      <c r="A10" s="36">
        <f>Einstellungen!B3</f>
        <v>46022</v>
      </c>
      <c r="B10" s="37">
        <f>YEAR(A10)-Einstellungen!$B$5</f>
        <v>30</v>
      </c>
      <c r="C10" s="1">
        <f>D2</f>
        <v>10000</v>
      </c>
      <c r="D10" s="3">
        <f>12*$D$4</f>
        <v>12000</v>
      </c>
      <c r="E10" s="7">
        <f>$D$5</f>
        <v>2.5000000000000001E-2</v>
      </c>
      <c r="F10" s="7">
        <f>$D$3</f>
        <v>0.06</v>
      </c>
      <c r="G10" s="8">
        <f t="shared" ref="G10:G41" si="0">C10*F10</f>
        <v>600</v>
      </c>
      <c r="H10" s="3">
        <f>C10+D10+G10</f>
        <v>22600</v>
      </c>
    </row>
    <row r="11" spans="1:8" x14ac:dyDescent="0.3">
      <c r="A11" s="36">
        <f>EDATE(A10,12)</f>
        <v>46387</v>
      </c>
      <c r="B11" s="37">
        <f>YEAR(A11)-Einstellungen!$B$5</f>
        <v>31</v>
      </c>
      <c r="C11" s="1">
        <f>H10</f>
        <v>22600</v>
      </c>
      <c r="D11" s="3">
        <f>IF(B11=$D$6,-12*$D$7,D10*(1+E10))</f>
        <v>12299.999999999998</v>
      </c>
      <c r="E11" s="7">
        <f t="shared" ref="E11:E74" si="1">$D$5</f>
        <v>2.5000000000000001E-2</v>
      </c>
      <c r="F11" s="7">
        <f t="shared" ref="F11:F74" si="2">$D$3</f>
        <v>0.06</v>
      </c>
      <c r="G11" s="8">
        <f t="shared" si="0"/>
        <v>1356</v>
      </c>
      <c r="H11" s="3">
        <f>C11+D11+G11</f>
        <v>36256</v>
      </c>
    </row>
    <row r="12" spans="1:8" x14ac:dyDescent="0.3">
      <c r="A12" s="36">
        <f t="shared" ref="A12:A75" si="3">EDATE(A11,12)</f>
        <v>46752</v>
      </c>
      <c r="B12" s="37">
        <f>YEAR(A12)-Einstellungen!$B$5</f>
        <v>32</v>
      </c>
      <c r="C12" s="1">
        <f>H11</f>
        <v>36256</v>
      </c>
      <c r="D12" s="3">
        <f t="shared" ref="D12:D75" si="4">IF(B12=$D$6,-12*$D$7,D11*(1+E11))</f>
        <v>12607.499999999996</v>
      </c>
      <c r="E12" s="7">
        <f t="shared" si="1"/>
        <v>2.5000000000000001E-2</v>
      </c>
      <c r="F12" s="7">
        <f t="shared" si="2"/>
        <v>0.06</v>
      </c>
      <c r="G12" s="8">
        <f t="shared" si="0"/>
        <v>2175.36</v>
      </c>
      <c r="H12" s="3">
        <f>C12+F12*C12+D12</f>
        <v>51038.86</v>
      </c>
    </row>
    <row r="13" spans="1:8" x14ac:dyDescent="0.3">
      <c r="A13" s="36">
        <f t="shared" si="3"/>
        <v>47118</v>
      </c>
      <c r="B13" s="37">
        <f>YEAR(A13)-Einstellungen!$B$5</f>
        <v>33</v>
      </c>
      <c r="C13" s="1">
        <f t="shared" ref="C13:C76" si="5">H12</f>
        <v>51038.86</v>
      </c>
      <c r="D13" s="3">
        <f t="shared" si="4"/>
        <v>12922.687499999995</v>
      </c>
      <c r="E13" s="7">
        <f t="shared" si="1"/>
        <v>2.5000000000000001E-2</v>
      </c>
      <c r="F13" s="7">
        <f t="shared" si="2"/>
        <v>0.06</v>
      </c>
      <c r="G13" s="8">
        <f t="shared" si="0"/>
        <v>3062.3316</v>
      </c>
      <c r="H13" s="3">
        <f>C13+D13+G13</f>
        <v>67023.879099999991</v>
      </c>
    </row>
    <row r="14" spans="1:8" x14ac:dyDescent="0.3">
      <c r="A14" s="36">
        <f t="shared" si="3"/>
        <v>47483</v>
      </c>
      <c r="B14" s="37">
        <f>YEAR(A14)-Einstellungen!$B$5</f>
        <v>34</v>
      </c>
      <c r="C14" s="1">
        <f t="shared" si="5"/>
        <v>67023.879099999991</v>
      </c>
      <c r="D14" s="3">
        <f t="shared" si="4"/>
        <v>13245.754687499993</v>
      </c>
      <c r="E14" s="7">
        <f t="shared" si="1"/>
        <v>2.5000000000000001E-2</v>
      </c>
      <c r="F14" s="7">
        <f t="shared" si="2"/>
        <v>0.06</v>
      </c>
      <c r="G14" s="8">
        <f t="shared" si="0"/>
        <v>4021.4327459999995</v>
      </c>
      <c r="H14" s="3">
        <f>C14+F14*C14+D14</f>
        <v>84291.066533499994</v>
      </c>
    </row>
    <row r="15" spans="1:8" x14ac:dyDescent="0.3">
      <c r="A15" s="36">
        <f t="shared" si="3"/>
        <v>47848</v>
      </c>
      <c r="B15" s="37">
        <f>YEAR(A15)-Einstellungen!$B$5</f>
        <v>35</v>
      </c>
      <c r="C15" s="1">
        <f t="shared" si="5"/>
        <v>84291.066533499994</v>
      </c>
      <c r="D15" s="3">
        <f t="shared" si="4"/>
        <v>13576.898554687492</v>
      </c>
      <c r="E15" s="7">
        <f t="shared" si="1"/>
        <v>2.5000000000000001E-2</v>
      </c>
      <c r="F15" s="7">
        <f t="shared" si="2"/>
        <v>0.06</v>
      </c>
      <c r="G15" s="8">
        <f t="shared" si="0"/>
        <v>5057.4639920099999</v>
      </c>
      <c r="H15" s="3">
        <f>C15+D15+G15</f>
        <v>102925.42908019749</v>
      </c>
    </row>
    <row r="16" spans="1:8" x14ac:dyDescent="0.3">
      <c r="A16" s="36">
        <f t="shared" si="3"/>
        <v>48213</v>
      </c>
      <c r="B16" s="37">
        <f>YEAR(A16)-Einstellungen!$B$5</f>
        <v>36</v>
      </c>
      <c r="C16" s="1">
        <f t="shared" si="5"/>
        <v>102925.42908019749</v>
      </c>
      <c r="D16" s="3">
        <f t="shared" si="4"/>
        <v>13916.321018554678</v>
      </c>
      <c r="E16" s="7">
        <f t="shared" si="1"/>
        <v>2.5000000000000001E-2</v>
      </c>
      <c r="F16" s="7">
        <f t="shared" si="2"/>
        <v>0.06</v>
      </c>
      <c r="G16" s="8">
        <f t="shared" si="0"/>
        <v>6175.5257448118491</v>
      </c>
      <c r="H16" s="3">
        <f>C16+F16*C16+D16</f>
        <v>123017.27584356401</v>
      </c>
    </row>
    <row r="17" spans="1:8" x14ac:dyDescent="0.3">
      <c r="A17" s="36">
        <f t="shared" si="3"/>
        <v>48579</v>
      </c>
      <c r="B17" s="37">
        <f>YEAR(A17)-Einstellungen!$B$5</f>
        <v>37</v>
      </c>
      <c r="C17" s="1">
        <f t="shared" si="5"/>
        <v>123017.27584356401</v>
      </c>
      <c r="D17" s="3">
        <f t="shared" si="4"/>
        <v>14264.229044018544</v>
      </c>
      <c r="E17" s="7">
        <f t="shared" si="1"/>
        <v>2.5000000000000001E-2</v>
      </c>
      <c r="F17" s="7">
        <f t="shared" si="2"/>
        <v>0.06</v>
      </c>
      <c r="G17" s="8">
        <f t="shared" si="0"/>
        <v>7381.0365506138405</v>
      </c>
      <c r="H17" s="3">
        <f>C17+D17+G17</f>
        <v>144662.54143819641</v>
      </c>
    </row>
    <row r="18" spans="1:8" x14ac:dyDescent="0.3">
      <c r="A18" s="36">
        <f t="shared" si="3"/>
        <v>48944</v>
      </c>
      <c r="B18" s="37">
        <f>YEAR(A18)-Einstellungen!$B$5</f>
        <v>38</v>
      </c>
      <c r="C18" s="1">
        <f t="shared" si="5"/>
        <v>144662.54143819641</v>
      </c>
      <c r="D18" s="3">
        <f t="shared" si="4"/>
        <v>14620.834770119007</v>
      </c>
      <c r="E18" s="7">
        <f t="shared" si="1"/>
        <v>2.5000000000000001E-2</v>
      </c>
      <c r="F18" s="7">
        <f t="shared" si="2"/>
        <v>0.06</v>
      </c>
      <c r="G18" s="8">
        <f t="shared" si="0"/>
        <v>8679.7524862917835</v>
      </c>
      <c r="H18" s="3">
        <f>C18+F18*C18+D18</f>
        <v>167963.12869460718</v>
      </c>
    </row>
    <row r="19" spans="1:8" x14ac:dyDescent="0.3">
      <c r="A19" s="36">
        <f t="shared" si="3"/>
        <v>49309</v>
      </c>
      <c r="B19" s="37">
        <f>YEAR(A19)-Einstellungen!$B$5</f>
        <v>39</v>
      </c>
      <c r="C19" s="1">
        <f t="shared" si="5"/>
        <v>167963.12869460718</v>
      </c>
      <c r="D19" s="3">
        <f t="shared" si="4"/>
        <v>14986.355639371981</v>
      </c>
      <c r="E19" s="7">
        <f t="shared" si="1"/>
        <v>2.5000000000000001E-2</v>
      </c>
      <c r="F19" s="7">
        <f t="shared" si="2"/>
        <v>0.06</v>
      </c>
      <c r="G19" s="8">
        <f t="shared" si="0"/>
        <v>10077.78772167643</v>
      </c>
      <c r="H19" s="3">
        <f>C19+D19+G19</f>
        <v>193027.2720556556</v>
      </c>
    </row>
    <row r="20" spans="1:8" x14ac:dyDescent="0.3">
      <c r="A20" s="36">
        <f t="shared" si="3"/>
        <v>49674</v>
      </c>
      <c r="B20" s="37">
        <f>YEAR(A20)-Einstellungen!$B$5</f>
        <v>40</v>
      </c>
      <c r="C20" s="1">
        <f t="shared" si="5"/>
        <v>193027.2720556556</v>
      </c>
      <c r="D20" s="3">
        <f t="shared" si="4"/>
        <v>15361.014530356279</v>
      </c>
      <c r="E20" s="7">
        <f t="shared" si="1"/>
        <v>2.5000000000000001E-2</v>
      </c>
      <c r="F20" s="7">
        <f t="shared" si="2"/>
        <v>0.06</v>
      </c>
      <c r="G20" s="8">
        <f t="shared" si="0"/>
        <v>11581.636323339335</v>
      </c>
      <c r="H20" s="3">
        <f>C20+F20*C20+D20</f>
        <v>219969.92290935121</v>
      </c>
    </row>
    <row r="21" spans="1:8" x14ac:dyDescent="0.3">
      <c r="A21" s="36">
        <f t="shared" si="3"/>
        <v>50040</v>
      </c>
      <c r="B21" s="37">
        <f>YEAR(A21)-Einstellungen!$B$5</f>
        <v>41</v>
      </c>
      <c r="C21" s="1">
        <f t="shared" si="5"/>
        <v>219969.92290935121</v>
      </c>
      <c r="D21" s="3">
        <f t="shared" si="4"/>
        <v>15745.039893615183</v>
      </c>
      <c r="E21" s="7">
        <f t="shared" si="1"/>
        <v>2.5000000000000001E-2</v>
      </c>
      <c r="F21" s="7">
        <f t="shared" si="2"/>
        <v>0.06</v>
      </c>
      <c r="G21" s="8">
        <f t="shared" si="0"/>
        <v>13198.195374561072</v>
      </c>
      <c r="H21" s="3">
        <f>C21+D21+G21</f>
        <v>248913.15817752745</v>
      </c>
    </row>
    <row r="22" spans="1:8" x14ac:dyDescent="0.3">
      <c r="A22" s="36">
        <f t="shared" si="3"/>
        <v>50405</v>
      </c>
      <c r="B22" s="37">
        <f>YEAR(A22)-Einstellungen!$B$5</f>
        <v>42</v>
      </c>
      <c r="C22" s="1">
        <f t="shared" si="5"/>
        <v>248913.15817752745</v>
      </c>
      <c r="D22" s="3">
        <f t="shared" si="4"/>
        <v>16138.665890955561</v>
      </c>
      <c r="E22" s="7">
        <f t="shared" si="1"/>
        <v>2.5000000000000001E-2</v>
      </c>
      <c r="F22" s="7">
        <f t="shared" si="2"/>
        <v>0.06</v>
      </c>
      <c r="G22" s="8">
        <f t="shared" si="0"/>
        <v>14934.789490651647</v>
      </c>
      <c r="H22" s="3">
        <f>C22+F22*C22+D22</f>
        <v>279986.61355913465</v>
      </c>
    </row>
    <row r="23" spans="1:8" x14ac:dyDescent="0.3">
      <c r="A23" s="36">
        <f t="shared" si="3"/>
        <v>50770</v>
      </c>
      <c r="B23" s="37">
        <f>YEAR(A23)-Einstellungen!$B$5</f>
        <v>43</v>
      </c>
      <c r="C23" s="1">
        <f t="shared" si="5"/>
        <v>279986.61355913465</v>
      </c>
      <c r="D23" s="3">
        <f t="shared" si="4"/>
        <v>16542.132538229449</v>
      </c>
      <c r="E23" s="7">
        <f t="shared" si="1"/>
        <v>2.5000000000000001E-2</v>
      </c>
      <c r="F23" s="7">
        <f t="shared" si="2"/>
        <v>0.06</v>
      </c>
      <c r="G23" s="8">
        <f t="shared" si="0"/>
        <v>16799.196813548078</v>
      </c>
      <c r="H23" s="3">
        <f>C23+D23+G23</f>
        <v>313327.94291091221</v>
      </c>
    </row>
    <row r="24" spans="1:8" x14ac:dyDescent="0.3">
      <c r="A24" s="36">
        <f t="shared" si="3"/>
        <v>51135</v>
      </c>
      <c r="B24" s="37">
        <f>YEAR(A24)-Einstellungen!$B$5</f>
        <v>44</v>
      </c>
      <c r="C24" s="1">
        <f t="shared" si="5"/>
        <v>313327.94291091221</v>
      </c>
      <c r="D24" s="3">
        <f t="shared" si="4"/>
        <v>16955.685851685183</v>
      </c>
      <c r="E24" s="7">
        <f t="shared" si="1"/>
        <v>2.5000000000000001E-2</v>
      </c>
      <c r="F24" s="7">
        <f t="shared" si="2"/>
        <v>0.06</v>
      </c>
      <c r="G24" s="8">
        <f t="shared" si="0"/>
        <v>18799.676574654732</v>
      </c>
      <c r="H24" s="3">
        <f>C24+F24*C24+D24</f>
        <v>349083.30533725215</v>
      </c>
    </row>
    <row r="25" spans="1:8" x14ac:dyDescent="0.3">
      <c r="A25" s="36">
        <f t="shared" si="3"/>
        <v>51501</v>
      </c>
      <c r="B25" s="37">
        <f>YEAR(A25)-Einstellungen!$B$5</f>
        <v>45</v>
      </c>
      <c r="C25" s="1">
        <f t="shared" si="5"/>
        <v>349083.30533725215</v>
      </c>
      <c r="D25" s="3">
        <f t="shared" si="4"/>
        <v>17379.577997977311</v>
      </c>
      <c r="E25" s="7">
        <f t="shared" si="1"/>
        <v>2.5000000000000001E-2</v>
      </c>
      <c r="F25" s="7">
        <f t="shared" si="2"/>
        <v>0.06</v>
      </c>
      <c r="G25" s="8">
        <f t="shared" si="0"/>
        <v>20944.998320235129</v>
      </c>
      <c r="H25" s="3">
        <f>C25+D25+G25</f>
        <v>387407.88165546459</v>
      </c>
    </row>
    <row r="26" spans="1:8" x14ac:dyDescent="0.3">
      <c r="A26" s="36">
        <f t="shared" si="3"/>
        <v>51866</v>
      </c>
      <c r="B26" s="37">
        <f>YEAR(A26)-Einstellungen!$B$5</f>
        <v>46</v>
      </c>
      <c r="C26" s="1">
        <f t="shared" si="5"/>
        <v>387407.88165546459</v>
      </c>
      <c r="D26" s="3">
        <f t="shared" si="4"/>
        <v>17814.067447926744</v>
      </c>
      <c r="E26" s="7">
        <f t="shared" si="1"/>
        <v>2.5000000000000001E-2</v>
      </c>
      <c r="F26" s="7">
        <f t="shared" si="2"/>
        <v>0.06</v>
      </c>
      <c r="G26" s="8">
        <f t="shared" si="0"/>
        <v>23244.472899327873</v>
      </c>
      <c r="H26" s="3">
        <f>C26+F26*C26+D26</f>
        <v>428466.42200271919</v>
      </c>
    </row>
    <row r="27" spans="1:8" x14ac:dyDescent="0.3">
      <c r="A27" s="36">
        <f t="shared" si="3"/>
        <v>52231</v>
      </c>
      <c r="B27" s="37">
        <f>YEAR(A27)-Einstellungen!$B$5</f>
        <v>47</v>
      </c>
      <c r="C27" s="1">
        <f t="shared" si="5"/>
        <v>428466.42200271919</v>
      </c>
      <c r="D27" s="3">
        <f t="shared" si="4"/>
        <v>18259.41913412491</v>
      </c>
      <c r="E27" s="7">
        <f t="shared" si="1"/>
        <v>2.5000000000000001E-2</v>
      </c>
      <c r="F27" s="7">
        <f t="shared" si="2"/>
        <v>0.06</v>
      </c>
      <c r="G27" s="8">
        <f t="shared" si="0"/>
        <v>25707.985320163152</v>
      </c>
      <c r="H27" s="3">
        <f>C27+D27+G27</f>
        <v>472433.82645700726</v>
      </c>
    </row>
    <row r="28" spans="1:8" x14ac:dyDescent="0.3">
      <c r="A28" s="36">
        <f t="shared" si="3"/>
        <v>52596</v>
      </c>
      <c r="B28" s="37">
        <f>YEAR(A28)-Einstellungen!$B$5</f>
        <v>48</v>
      </c>
      <c r="C28" s="1">
        <f t="shared" si="5"/>
        <v>472433.82645700726</v>
      </c>
      <c r="D28" s="3">
        <f t="shared" si="4"/>
        <v>18715.904612478033</v>
      </c>
      <c r="E28" s="7">
        <f t="shared" si="1"/>
        <v>2.5000000000000001E-2</v>
      </c>
      <c r="F28" s="7">
        <f t="shared" si="2"/>
        <v>0.06</v>
      </c>
      <c r="G28" s="8">
        <f t="shared" si="0"/>
        <v>28346.029587420435</v>
      </c>
      <c r="H28" s="3">
        <f>C28+F28*C28+D28</f>
        <v>519495.76065690577</v>
      </c>
    </row>
    <row r="29" spans="1:8" x14ac:dyDescent="0.3">
      <c r="A29" s="36">
        <f t="shared" si="3"/>
        <v>52962</v>
      </c>
      <c r="B29" s="37">
        <f>YEAR(A29)-Einstellungen!$B$5</f>
        <v>49</v>
      </c>
      <c r="C29" s="1">
        <f t="shared" si="5"/>
        <v>519495.76065690577</v>
      </c>
      <c r="D29" s="3">
        <f t="shared" si="4"/>
        <v>19183.80222778998</v>
      </c>
      <c r="E29" s="7">
        <f t="shared" si="1"/>
        <v>2.5000000000000001E-2</v>
      </c>
      <c r="F29" s="7">
        <f t="shared" si="2"/>
        <v>0.06</v>
      </c>
      <c r="G29" s="8">
        <f t="shared" si="0"/>
        <v>31169.745639414345</v>
      </c>
      <c r="H29" s="3">
        <f>C29+D29+G29</f>
        <v>569849.30852411001</v>
      </c>
    </row>
    <row r="30" spans="1:8" x14ac:dyDescent="0.3">
      <c r="A30" s="36">
        <f t="shared" si="3"/>
        <v>53327</v>
      </c>
      <c r="B30" s="37">
        <f>YEAR(A30)-Einstellungen!$B$5</f>
        <v>50</v>
      </c>
      <c r="C30" s="1">
        <f t="shared" si="5"/>
        <v>569849.30852411001</v>
      </c>
      <c r="D30" s="3">
        <f t="shared" si="4"/>
        <v>19663.397283484726</v>
      </c>
      <c r="E30" s="7">
        <f t="shared" si="1"/>
        <v>2.5000000000000001E-2</v>
      </c>
      <c r="F30" s="7">
        <f t="shared" si="2"/>
        <v>0.06</v>
      </c>
      <c r="G30" s="8">
        <f t="shared" si="0"/>
        <v>34190.958511446603</v>
      </c>
      <c r="H30" s="3">
        <f>C30+F30*C30+D30</f>
        <v>623703.6643190413</v>
      </c>
    </row>
    <row r="31" spans="1:8" x14ac:dyDescent="0.3">
      <c r="A31" s="36">
        <f t="shared" si="3"/>
        <v>53692</v>
      </c>
      <c r="B31" s="37">
        <f>YEAR(A31)-Einstellungen!$B$5</f>
        <v>51</v>
      </c>
      <c r="C31" s="1">
        <f t="shared" si="5"/>
        <v>623703.6643190413</v>
      </c>
      <c r="D31" s="3">
        <f t="shared" si="4"/>
        <v>20154.982215571843</v>
      </c>
      <c r="E31" s="7">
        <f t="shared" si="1"/>
        <v>2.5000000000000001E-2</v>
      </c>
      <c r="F31" s="7">
        <f t="shared" si="2"/>
        <v>0.06</v>
      </c>
      <c r="G31" s="8">
        <f t="shared" si="0"/>
        <v>37422.219859142475</v>
      </c>
      <c r="H31" s="3">
        <f>C31+D31+G31</f>
        <v>681280.86639375554</v>
      </c>
    </row>
    <row r="32" spans="1:8" x14ac:dyDescent="0.3">
      <c r="A32" s="36">
        <f t="shared" si="3"/>
        <v>54057</v>
      </c>
      <c r="B32" s="37">
        <f>YEAR(A32)-Einstellungen!$B$5</f>
        <v>52</v>
      </c>
      <c r="C32" s="1">
        <f t="shared" si="5"/>
        <v>681280.86639375554</v>
      </c>
      <c r="D32" s="3">
        <f t="shared" si="4"/>
        <v>20658.856770961138</v>
      </c>
      <c r="E32" s="7">
        <f t="shared" si="1"/>
        <v>2.5000000000000001E-2</v>
      </c>
      <c r="F32" s="7">
        <f t="shared" si="2"/>
        <v>0.06</v>
      </c>
      <c r="G32" s="8">
        <f t="shared" si="0"/>
        <v>40876.851983625333</v>
      </c>
      <c r="H32" s="3">
        <f>C32+F32*C32+D32</f>
        <v>742816.57514834194</v>
      </c>
    </row>
    <row r="33" spans="1:8" x14ac:dyDescent="0.3">
      <c r="A33" s="36">
        <f t="shared" si="3"/>
        <v>54423</v>
      </c>
      <c r="B33" s="37">
        <f>YEAR(A33)-Einstellungen!$B$5</f>
        <v>53</v>
      </c>
      <c r="C33" s="1">
        <f t="shared" si="5"/>
        <v>742816.57514834194</v>
      </c>
      <c r="D33" s="3">
        <f t="shared" si="4"/>
        <v>21175.328190235163</v>
      </c>
      <c r="E33" s="7">
        <f t="shared" si="1"/>
        <v>2.5000000000000001E-2</v>
      </c>
      <c r="F33" s="7">
        <f t="shared" si="2"/>
        <v>0.06</v>
      </c>
      <c r="G33" s="8">
        <f t="shared" si="0"/>
        <v>44568.994508900512</v>
      </c>
      <c r="H33" s="3">
        <f>C33+D33+G33</f>
        <v>808560.8978474777</v>
      </c>
    </row>
    <row r="34" spans="1:8" x14ac:dyDescent="0.3">
      <c r="A34" s="36">
        <f t="shared" si="3"/>
        <v>54788</v>
      </c>
      <c r="B34" s="37">
        <f>YEAR(A34)-Einstellungen!$B$5</f>
        <v>54</v>
      </c>
      <c r="C34" s="1">
        <f t="shared" si="5"/>
        <v>808560.8978474777</v>
      </c>
      <c r="D34" s="3">
        <f t="shared" si="4"/>
        <v>21704.711394991042</v>
      </c>
      <c r="E34" s="7">
        <f t="shared" si="1"/>
        <v>2.5000000000000001E-2</v>
      </c>
      <c r="F34" s="7">
        <f t="shared" si="2"/>
        <v>0.06</v>
      </c>
      <c r="G34" s="8">
        <f t="shared" si="0"/>
        <v>48513.653870848662</v>
      </c>
      <c r="H34" s="3">
        <f>C34+F34*C34+D34</f>
        <v>878779.26311331743</v>
      </c>
    </row>
    <row r="35" spans="1:8" x14ac:dyDescent="0.3">
      <c r="A35" s="36">
        <f t="shared" si="3"/>
        <v>55153</v>
      </c>
      <c r="B35" s="37">
        <f>YEAR(A35)-Einstellungen!$B$5</f>
        <v>55</v>
      </c>
      <c r="C35" s="1">
        <f t="shared" si="5"/>
        <v>878779.26311331743</v>
      </c>
      <c r="D35" s="3">
        <f t="shared" si="4"/>
        <v>22247.329179865817</v>
      </c>
      <c r="E35" s="7">
        <f t="shared" si="1"/>
        <v>2.5000000000000001E-2</v>
      </c>
      <c r="F35" s="7">
        <f t="shared" si="2"/>
        <v>0.06</v>
      </c>
      <c r="G35" s="8">
        <f t="shared" si="0"/>
        <v>52726.755786799047</v>
      </c>
      <c r="H35" s="3">
        <f>C35+D35+G35</f>
        <v>953753.34807998221</v>
      </c>
    </row>
    <row r="36" spans="1:8" x14ac:dyDescent="0.3">
      <c r="A36" s="36">
        <f t="shared" si="3"/>
        <v>55518</v>
      </c>
      <c r="B36" s="37">
        <f>YEAR(A36)-Einstellungen!$B$5</f>
        <v>56</v>
      </c>
      <c r="C36" s="1">
        <f t="shared" si="5"/>
        <v>953753.34807998221</v>
      </c>
      <c r="D36" s="3">
        <f t="shared" si="4"/>
        <v>22803.512409362462</v>
      </c>
      <c r="E36" s="7">
        <f t="shared" si="1"/>
        <v>2.5000000000000001E-2</v>
      </c>
      <c r="F36" s="7">
        <f t="shared" si="2"/>
        <v>0.06</v>
      </c>
      <c r="G36" s="8">
        <f t="shared" si="0"/>
        <v>57225.200884798927</v>
      </c>
      <c r="H36" s="3">
        <f>C36+F36*C36+D36</f>
        <v>1033782.0613741436</v>
      </c>
    </row>
    <row r="37" spans="1:8" x14ac:dyDescent="0.3">
      <c r="A37" s="36">
        <f t="shared" si="3"/>
        <v>55884</v>
      </c>
      <c r="B37" s="37">
        <f>YEAR(A37)-Einstellungen!$B$5</f>
        <v>57</v>
      </c>
      <c r="C37" s="1">
        <f t="shared" si="5"/>
        <v>1033782.0613741436</v>
      </c>
      <c r="D37" s="3">
        <f t="shared" si="4"/>
        <v>23373.600219596523</v>
      </c>
      <c r="E37" s="7">
        <f t="shared" si="1"/>
        <v>2.5000000000000001E-2</v>
      </c>
      <c r="F37" s="7">
        <f t="shared" si="2"/>
        <v>0.06</v>
      </c>
      <c r="G37" s="8">
        <f t="shared" si="0"/>
        <v>62026.923682448614</v>
      </c>
      <c r="H37" s="3">
        <f>C37+D37+G37</f>
        <v>1119182.5852761888</v>
      </c>
    </row>
    <row r="38" spans="1:8" x14ac:dyDescent="0.3">
      <c r="A38" s="36">
        <f t="shared" si="3"/>
        <v>56249</v>
      </c>
      <c r="B38" s="37">
        <f>YEAR(A38)-Einstellungen!$B$5</f>
        <v>58</v>
      </c>
      <c r="C38" s="1">
        <f t="shared" si="5"/>
        <v>1119182.5852761888</v>
      </c>
      <c r="D38" s="3">
        <f t="shared" si="4"/>
        <v>23957.940225086433</v>
      </c>
      <c r="E38" s="7">
        <f t="shared" si="1"/>
        <v>2.5000000000000001E-2</v>
      </c>
      <c r="F38" s="7">
        <f t="shared" si="2"/>
        <v>0.06</v>
      </c>
      <c r="G38" s="8">
        <f t="shared" si="0"/>
        <v>67150.95511657132</v>
      </c>
      <c r="H38" s="3">
        <f>C38+F38*C38+D38</f>
        <v>1210291.4806178466</v>
      </c>
    </row>
    <row r="39" spans="1:8" x14ac:dyDescent="0.3">
      <c r="A39" s="36">
        <f t="shared" si="3"/>
        <v>56614</v>
      </c>
      <c r="B39" s="37">
        <f>YEAR(A39)-Einstellungen!$B$5</f>
        <v>59</v>
      </c>
      <c r="C39" s="1">
        <f t="shared" si="5"/>
        <v>1210291.4806178466</v>
      </c>
      <c r="D39" s="3">
        <f t="shared" si="4"/>
        <v>24556.888730713592</v>
      </c>
      <c r="E39" s="7">
        <f t="shared" si="1"/>
        <v>2.5000000000000001E-2</v>
      </c>
      <c r="F39" s="7">
        <f t="shared" si="2"/>
        <v>0.06</v>
      </c>
      <c r="G39" s="8">
        <f t="shared" si="0"/>
        <v>72617.488837070792</v>
      </c>
      <c r="H39" s="3">
        <f>C39+D39+G39</f>
        <v>1307465.858185631</v>
      </c>
    </row>
    <row r="40" spans="1:8" x14ac:dyDescent="0.3">
      <c r="A40" s="36">
        <f t="shared" si="3"/>
        <v>56979</v>
      </c>
      <c r="B40" s="37">
        <f>YEAR(A40)-Einstellungen!$B$5</f>
        <v>60</v>
      </c>
      <c r="C40" s="1">
        <f t="shared" si="5"/>
        <v>1307465.858185631</v>
      </c>
      <c r="D40" s="3">
        <f t="shared" si="4"/>
        <v>25170.810948981431</v>
      </c>
      <c r="E40" s="7">
        <f t="shared" si="1"/>
        <v>2.5000000000000001E-2</v>
      </c>
      <c r="F40" s="7">
        <f t="shared" si="2"/>
        <v>0.06</v>
      </c>
      <c r="G40" s="8">
        <f t="shared" si="0"/>
        <v>78447.95149113785</v>
      </c>
      <c r="H40" s="3">
        <f>C40+F40*C40+D40</f>
        <v>1411084.6206257502</v>
      </c>
    </row>
    <row r="41" spans="1:8" x14ac:dyDescent="0.3">
      <c r="A41" s="36">
        <f t="shared" si="3"/>
        <v>57345</v>
      </c>
      <c r="B41" s="37">
        <f>YEAR(A41)-Einstellungen!$B$5</f>
        <v>61</v>
      </c>
      <c r="C41" s="1">
        <f t="shared" si="5"/>
        <v>1411084.6206257502</v>
      </c>
      <c r="D41" s="3">
        <f t="shared" si="4"/>
        <v>25800.081222705965</v>
      </c>
      <c r="E41" s="7">
        <f t="shared" si="1"/>
        <v>2.5000000000000001E-2</v>
      </c>
      <c r="F41" s="7">
        <f t="shared" si="2"/>
        <v>0.06</v>
      </c>
      <c r="G41" s="8">
        <f t="shared" si="0"/>
        <v>84665.077237545003</v>
      </c>
      <c r="H41" s="3">
        <f>C41+D41+G41</f>
        <v>1521549.7790860012</v>
      </c>
    </row>
    <row r="42" spans="1:8" x14ac:dyDescent="0.3">
      <c r="A42" s="36">
        <f t="shared" si="3"/>
        <v>57710</v>
      </c>
      <c r="B42" s="37">
        <f>YEAR(A42)-Einstellungen!$B$5</f>
        <v>62</v>
      </c>
      <c r="C42" s="1">
        <f t="shared" si="5"/>
        <v>1521549.7790860012</v>
      </c>
      <c r="D42" s="3">
        <f t="shared" si="4"/>
        <v>26445.083253273613</v>
      </c>
      <c r="E42" s="7">
        <f t="shared" si="1"/>
        <v>2.5000000000000001E-2</v>
      </c>
      <c r="F42" s="7">
        <f t="shared" si="2"/>
        <v>0.06</v>
      </c>
      <c r="G42" s="8">
        <f t="shared" ref="G42:G73" si="6">C42*F42</f>
        <v>91292.986745160073</v>
      </c>
      <c r="H42" s="3">
        <f>C42+F42*C42+D42</f>
        <v>1639287.8490844348</v>
      </c>
    </row>
    <row r="43" spans="1:8" x14ac:dyDescent="0.3">
      <c r="A43" s="36">
        <f t="shared" si="3"/>
        <v>58075</v>
      </c>
      <c r="B43" s="37">
        <f>YEAR(A43)-Einstellungen!$B$5</f>
        <v>63</v>
      </c>
      <c r="C43" s="1">
        <f t="shared" si="5"/>
        <v>1639287.8490844348</v>
      </c>
      <c r="D43" s="3">
        <f t="shared" si="4"/>
        <v>27106.21033460545</v>
      </c>
      <c r="E43" s="7">
        <f t="shared" si="1"/>
        <v>2.5000000000000001E-2</v>
      </c>
      <c r="F43" s="7">
        <f t="shared" si="2"/>
        <v>0.06</v>
      </c>
      <c r="G43" s="8">
        <f t="shared" si="6"/>
        <v>98357.270945066091</v>
      </c>
      <c r="H43" s="3">
        <f>C43+D43+G43</f>
        <v>1764751.3303641065</v>
      </c>
    </row>
    <row r="44" spans="1:8" x14ac:dyDescent="0.3">
      <c r="A44" s="36">
        <f t="shared" si="3"/>
        <v>58440</v>
      </c>
      <c r="B44" s="37">
        <f>YEAR(A44)-Einstellungen!$B$5</f>
        <v>64</v>
      </c>
      <c r="C44" s="1">
        <f t="shared" si="5"/>
        <v>1764751.3303641065</v>
      </c>
      <c r="D44" s="3">
        <f t="shared" si="4"/>
        <v>27783.865592970586</v>
      </c>
      <c r="E44" s="7">
        <f t="shared" si="1"/>
        <v>2.5000000000000001E-2</v>
      </c>
      <c r="F44" s="7">
        <f t="shared" si="2"/>
        <v>0.06</v>
      </c>
      <c r="G44" s="8">
        <f t="shared" si="6"/>
        <v>105885.07982184639</v>
      </c>
      <c r="H44" s="3">
        <f>C44+F44*C44+D44</f>
        <v>1898420.2757789234</v>
      </c>
    </row>
    <row r="45" spans="1:8" x14ac:dyDescent="0.3">
      <c r="A45" s="36">
        <f t="shared" si="3"/>
        <v>58806</v>
      </c>
      <c r="B45" s="37">
        <f>YEAR(A45)-Einstellungen!$B$5</f>
        <v>65</v>
      </c>
      <c r="C45" s="1">
        <f t="shared" si="5"/>
        <v>1898420.2757789234</v>
      </c>
      <c r="D45" s="3">
        <f t="shared" si="4"/>
        <v>28478.462232794849</v>
      </c>
      <c r="E45" s="7">
        <f t="shared" si="1"/>
        <v>2.5000000000000001E-2</v>
      </c>
      <c r="F45" s="7">
        <f t="shared" si="2"/>
        <v>0.06</v>
      </c>
      <c r="G45" s="8">
        <f t="shared" si="6"/>
        <v>113905.21654673541</v>
      </c>
      <c r="H45" s="3">
        <f>C45+D45+G45</f>
        <v>2040803.9545584538</v>
      </c>
    </row>
    <row r="46" spans="1:8" x14ac:dyDescent="0.3">
      <c r="A46" s="36">
        <f t="shared" si="3"/>
        <v>59171</v>
      </c>
      <c r="B46" s="37">
        <f>YEAR(A46)-Einstellungen!$B$5</f>
        <v>66</v>
      </c>
      <c r="C46" s="1">
        <f t="shared" si="5"/>
        <v>2040803.9545584538</v>
      </c>
      <c r="D46" s="3">
        <f t="shared" si="4"/>
        <v>29190.423788614717</v>
      </c>
      <c r="E46" s="7">
        <f t="shared" si="1"/>
        <v>2.5000000000000001E-2</v>
      </c>
      <c r="F46" s="7">
        <f t="shared" si="2"/>
        <v>0.06</v>
      </c>
      <c r="G46" s="8">
        <f t="shared" si="6"/>
        <v>122448.23727350723</v>
      </c>
      <c r="H46" s="3">
        <f>C46+F46*C46+D46</f>
        <v>2192442.6156205754</v>
      </c>
    </row>
    <row r="47" spans="1:8" x14ac:dyDescent="0.3">
      <c r="A47" s="36">
        <f t="shared" si="3"/>
        <v>59536</v>
      </c>
      <c r="B47" s="37">
        <f>YEAR(A47)-Einstellungen!$B$5</f>
        <v>67</v>
      </c>
      <c r="C47" s="1">
        <f t="shared" si="5"/>
        <v>2192442.6156205754</v>
      </c>
      <c r="D47" s="3">
        <f t="shared" si="4"/>
        <v>-60000</v>
      </c>
      <c r="E47" s="7">
        <f t="shared" si="1"/>
        <v>2.5000000000000001E-2</v>
      </c>
      <c r="F47" s="7">
        <f t="shared" si="2"/>
        <v>0.06</v>
      </c>
      <c r="G47" s="8">
        <f t="shared" si="6"/>
        <v>131546.55693723451</v>
      </c>
      <c r="H47" s="3">
        <f>C47+D47+G47</f>
        <v>2263989.1725578099</v>
      </c>
    </row>
    <row r="48" spans="1:8" x14ac:dyDescent="0.3">
      <c r="A48" s="36">
        <f t="shared" si="3"/>
        <v>59901</v>
      </c>
      <c r="B48" s="37">
        <f>YEAR(A48)-Einstellungen!$B$5</f>
        <v>68</v>
      </c>
      <c r="C48" s="1">
        <f t="shared" si="5"/>
        <v>2263989.1725578099</v>
      </c>
      <c r="D48" s="3">
        <f t="shared" si="4"/>
        <v>-61499.999999999993</v>
      </c>
      <c r="E48" s="7">
        <f t="shared" si="1"/>
        <v>2.5000000000000001E-2</v>
      </c>
      <c r="F48" s="7">
        <f t="shared" si="2"/>
        <v>0.06</v>
      </c>
      <c r="G48" s="8">
        <f t="shared" si="6"/>
        <v>135839.35035346859</v>
      </c>
      <c r="H48" s="3">
        <f>C48+F48*C48+D48</f>
        <v>2338328.5229112785</v>
      </c>
    </row>
    <row r="49" spans="1:8" x14ac:dyDescent="0.3">
      <c r="A49" s="36">
        <f t="shared" si="3"/>
        <v>60267</v>
      </c>
      <c r="B49" s="37">
        <f>YEAR(A49)-Einstellungen!$B$5</f>
        <v>69</v>
      </c>
      <c r="C49" s="1">
        <f t="shared" si="5"/>
        <v>2338328.5229112785</v>
      </c>
      <c r="D49" s="3">
        <f t="shared" si="4"/>
        <v>-63037.499999999985</v>
      </c>
      <c r="E49" s="7">
        <f t="shared" si="1"/>
        <v>2.5000000000000001E-2</v>
      </c>
      <c r="F49" s="7">
        <f t="shared" si="2"/>
        <v>0.06</v>
      </c>
      <c r="G49" s="8">
        <f t="shared" si="6"/>
        <v>140299.7113746767</v>
      </c>
      <c r="H49" s="3">
        <f>C49+D49+G49</f>
        <v>2415590.7342859553</v>
      </c>
    </row>
    <row r="50" spans="1:8" x14ac:dyDescent="0.3">
      <c r="A50" s="36">
        <f t="shared" si="3"/>
        <v>60632</v>
      </c>
      <c r="B50" s="37">
        <f>YEAR(A50)-Einstellungen!$B$5</f>
        <v>70</v>
      </c>
      <c r="C50" s="1">
        <f t="shared" si="5"/>
        <v>2415590.7342859553</v>
      </c>
      <c r="D50" s="3">
        <f t="shared" si="4"/>
        <v>-64613.437499999978</v>
      </c>
      <c r="E50" s="7">
        <f t="shared" si="1"/>
        <v>2.5000000000000001E-2</v>
      </c>
      <c r="F50" s="7">
        <f t="shared" si="2"/>
        <v>0.06</v>
      </c>
      <c r="G50" s="8">
        <f t="shared" si="6"/>
        <v>144935.44405715732</v>
      </c>
      <c r="H50" s="3">
        <f>C50+F50*C50+D50</f>
        <v>2495912.7408431126</v>
      </c>
    </row>
    <row r="51" spans="1:8" x14ac:dyDescent="0.3">
      <c r="A51" s="36">
        <f t="shared" si="3"/>
        <v>60997</v>
      </c>
      <c r="B51" s="37">
        <f>YEAR(A51)-Einstellungen!$B$5</f>
        <v>71</v>
      </c>
      <c r="C51" s="1">
        <f t="shared" si="5"/>
        <v>2495912.7408431126</v>
      </c>
      <c r="D51" s="3">
        <f t="shared" si="4"/>
        <v>-66228.773437499971</v>
      </c>
      <c r="E51" s="7">
        <f t="shared" si="1"/>
        <v>2.5000000000000001E-2</v>
      </c>
      <c r="F51" s="7">
        <f t="shared" si="2"/>
        <v>0.06</v>
      </c>
      <c r="G51" s="8">
        <f t="shared" si="6"/>
        <v>149754.76445058675</v>
      </c>
      <c r="H51" s="3">
        <f>C51+D51+G51</f>
        <v>2579438.7318561994</v>
      </c>
    </row>
    <row r="52" spans="1:8" x14ac:dyDescent="0.3">
      <c r="A52" s="36">
        <f t="shared" si="3"/>
        <v>61362</v>
      </c>
      <c r="B52" s="37">
        <f>YEAR(A52)-Einstellungen!$B$5</f>
        <v>72</v>
      </c>
      <c r="C52" s="1">
        <f t="shared" si="5"/>
        <v>2579438.7318561994</v>
      </c>
      <c r="D52" s="3">
        <f t="shared" si="4"/>
        <v>-67884.492773437465</v>
      </c>
      <c r="E52" s="7">
        <f t="shared" si="1"/>
        <v>2.5000000000000001E-2</v>
      </c>
      <c r="F52" s="7">
        <f t="shared" si="2"/>
        <v>0.06</v>
      </c>
      <c r="G52" s="8">
        <f t="shared" si="6"/>
        <v>154766.32391137196</v>
      </c>
      <c r="H52" s="3">
        <f>C52+F52*C52+D52</f>
        <v>2666320.5629941341</v>
      </c>
    </row>
    <row r="53" spans="1:8" x14ac:dyDescent="0.3">
      <c r="A53" s="36">
        <f t="shared" si="3"/>
        <v>61728</v>
      </c>
      <c r="B53" s="37">
        <f>YEAR(A53)-Einstellungen!$B$5</f>
        <v>73</v>
      </c>
      <c r="C53" s="1">
        <f t="shared" si="5"/>
        <v>2666320.5629941341</v>
      </c>
      <c r="D53" s="3">
        <f t="shared" si="4"/>
        <v>-69581.605092773389</v>
      </c>
      <c r="E53" s="7">
        <f t="shared" si="1"/>
        <v>2.5000000000000001E-2</v>
      </c>
      <c r="F53" s="7">
        <f t="shared" si="2"/>
        <v>0.06</v>
      </c>
      <c r="G53" s="8">
        <f t="shared" si="6"/>
        <v>159979.23377964806</v>
      </c>
      <c r="H53" s="3">
        <f>C53+D53+G53</f>
        <v>2756718.1916810088</v>
      </c>
    </row>
    <row r="54" spans="1:8" x14ac:dyDescent="0.3">
      <c r="A54" s="36">
        <f t="shared" si="3"/>
        <v>62093</v>
      </c>
      <c r="B54" s="37">
        <f>YEAR(A54)-Einstellungen!$B$5</f>
        <v>74</v>
      </c>
      <c r="C54" s="1">
        <f t="shared" si="5"/>
        <v>2756718.1916810088</v>
      </c>
      <c r="D54" s="3">
        <f t="shared" si="4"/>
        <v>-71321.145220092716</v>
      </c>
      <c r="E54" s="7">
        <f t="shared" si="1"/>
        <v>2.5000000000000001E-2</v>
      </c>
      <c r="F54" s="7">
        <f t="shared" si="2"/>
        <v>0.06</v>
      </c>
      <c r="G54" s="8">
        <f t="shared" si="6"/>
        <v>165403.09150086052</v>
      </c>
      <c r="H54" s="3">
        <f>C54+F54*C54+D54</f>
        <v>2850800.1379617769</v>
      </c>
    </row>
    <row r="55" spans="1:8" x14ac:dyDescent="0.3">
      <c r="A55" s="36">
        <f t="shared" si="3"/>
        <v>62458</v>
      </c>
      <c r="B55" s="37">
        <f>YEAR(A55)-Einstellungen!$B$5</f>
        <v>75</v>
      </c>
      <c r="C55" s="1">
        <f t="shared" si="5"/>
        <v>2850800.1379617769</v>
      </c>
      <c r="D55" s="3">
        <f t="shared" si="4"/>
        <v>-73104.173850595034</v>
      </c>
      <c r="E55" s="7">
        <f t="shared" si="1"/>
        <v>2.5000000000000001E-2</v>
      </c>
      <c r="F55" s="7">
        <f t="shared" si="2"/>
        <v>0.06</v>
      </c>
      <c r="G55" s="8">
        <f t="shared" si="6"/>
        <v>171048.0082777066</v>
      </c>
      <c r="H55" s="3">
        <f>C55+D55+G55</f>
        <v>2948743.9723888887</v>
      </c>
    </row>
    <row r="56" spans="1:8" x14ac:dyDescent="0.3">
      <c r="A56" s="36">
        <f t="shared" si="3"/>
        <v>62823</v>
      </c>
      <c r="B56" s="37">
        <f>YEAR(A56)-Einstellungen!$B$5</f>
        <v>76</v>
      </c>
      <c r="C56" s="1">
        <f t="shared" si="5"/>
        <v>2948743.9723888887</v>
      </c>
      <c r="D56" s="3">
        <f t="shared" si="4"/>
        <v>-74931.778196859901</v>
      </c>
      <c r="E56" s="7">
        <f t="shared" si="1"/>
        <v>2.5000000000000001E-2</v>
      </c>
      <c r="F56" s="7">
        <f t="shared" si="2"/>
        <v>0.06</v>
      </c>
      <c r="G56" s="8">
        <f t="shared" si="6"/>
        <v>176924.63834333332</v>
      </c>
      <c r="H56" s="3">
        <f>C56+F56*C56+D56</f>
        <v>3050736.8325353619</v>
      </c>
    </row>
    <row r="57" spans="1:8" x14ac:dyDescent="0.3">
      <c r="A57" s="36">
        <f t="shared" si="3"/>
        <v>63189</v>
      </c>
      <c r="B57" s="37">
        <f>YEAR(A57)-Einstellungen!$B$5</f>
        <v>77</v>
      </c>
      <c r="C57" s="1">
        <f t="shared" si="5"/>
        <v>3050736.8325353619</v>
      </c>
      <c r="D57" s="3">
        <f t="shared" si="4"/>
        <v>-76805.072651781389</v>
      </c>
      <c r="E57" s="7">
        <f t="shared" si="1"/>
        <v>2.5000000000000001E-2</v>
      </c>
      <c r="F57" s="7">
        <f t="shared" si="2"/>
        <v>0.06</v>
      </c>
      <c r="G57" s="8">
        <f t="shared" si="6"/>
        <v>183044.20995212172</v>
      </c>
      <c r="H57" s="3">
        <f>C57+D57+G57</f>
        <v>3156975.9698357019</v>
      </c>
    </row>
    <row r="58" spans="1:8" x14ac:dyDescent="0.3">
      <c r="A58" s="36">
        <f t="shared" si="3"/>
        <v>63554</v>
      </c>
      <c r="B58" s="37">
        <f>YEAR(A58)-Einstellungen!$B$5</f>
        <v>78</v>
      </c>
      <c r="C58" s="1">
        <f t="shared" si="5"/>
        <v>3156975.9698357019</v>
      </c>
      <c r="D58" s="3">
        <f t="shared" si="4"/>
        <v>-78725.199468075924</v>
      </c>
      <c r="E58" s="7">
        <f t="shared" si="1"/>
        <v>2.5000000000000001E-2</v>
      </c>
      <c r="F58" s="7">
        <f t="shared" si="2"/>
        <v>0.06</v>
      </c>
      <c r="G58" s="8">
        <f t="shared" si="6"/>
        <v>189418.5581901421</v>
      </c>
      <c r="H58" s="3">
        <f>C58+F58*C58+D58</f>
        <v>3267669.3285577684</v>
      </c>
    </row>
    <row r="59" spans="1:8" x14ac:dyDescent="0.3">
      <c r="A59" s="36">
        <f t="shared" si="3"/>
        <v>63919</v>
      </c>
      <c r="B59" s="37">
        <f>YEAR(A59)-Einstellungen!$B$5</f>
        <v>79</v>
      </c>
      <c r="C59" s="1">
        <f t="shared" si="5"/>
        <v>3267669.3285577684</v>
      </c>
      <c r="D59" s="3">
        <f t="shared" si="4"/>
        <v>-80693.329454777821</v>
      </c>
      <c r="E59" s="7">
        <f t="shared" si="1"/>
        <v>2.5000000000000001E-2</v>
      </c>
      <c r="F59" s="7">
        <f t="shared" si="2"/>
        <v>0.06</v>
      </c>
      <c r="G59" s="8">
        <f t="shared" si="6"/>
        <v>196060.1597134661</v>
      </c>
      <c r="H59" s="3">
        <f>C59+D59+G59</f>
        <v>3383036.1588164568</v>
      </c>
    </row>
    <row r="60" spans="1:8" x14ac:dyDescent="0.3">
      <c r="A60" s="36">
        <f t="shared" si="3"/>
        <v>64284</v>
      </c>
      <c r="B60" s="37">
        <f>YEAR(A60)-Einstellungen!$B$5</f>
        <v>80</v>
      </c>
      <c r="C60" s="1">
        <f t="shared" si="5"/>
        <v>3383036.1588164568</v>
      </c>
      <c r="D60" s="3">
        <f t="shared" si="4"/>
        <v>-82710.662691147256</v>
      </c>
      <c r="E60" s="7">
        <f t="shared" si="1"/>
        <v>2.5000000000000001E-2</v>
      </c>
      <c r="F60" s="7">
        <f t="shared" si="2"/>
        <v>0.06</v>
      </c>
      <c r="G60" s="8">
        <f t="shared" si="6"/>
        <v>202982.1695289874</v>
      </c>
      <c r="H60" s="3">
        <f>C60+F60*C60+D60</f>
        <v>3503307.665654297</v>
      </c>
    </row>
    <row r="61" spans="1:8" x14ac:dyDescent="0.3">
      <c r="A61" s="36">
        <f t="shared" si="3"/>
        <v>64650</v>
      </c>
      <c r="B61" s="37">
        <f>YEAR(A61)-Einstellungen!$B$5</f>
        <v>81</v>
      </c>
      <c r="C61" s="1">
        <f t="shared" si="5"/>
        <v>3503307.665654297</v>
      </c>
      <c r="D61" s="3">
        <f t="shared" si="4"/>
        <v>-84778.429258425924</v>
      </c>
      <c r="E61" s="7">
        <f t="shared" si="1"/>
        <v>2.5000000000000001E-2</v>
      </c>
      <c r="F61" s="7">
        <f t="shared" si="2"/>
        <v>0.06</v>
      </c>
      <c r="G61" s="8">
        <f t="shared" si="6"/>
        <v>210198.45993925782</v>
      </c>
      <c r="H61" s="3">
        <f>C61+D61+G61</f>
        <v>3628727.696335129</v>
      </c>
    </row>
    <row r="62" spans="1:8" x14ac:dyDescent="0.3">
      <c r="A62" s="36">
        <f t="shared" si="3"/>
        <v>65015</v>
      </c>
      <c r="B62" s="37">
        <f>YEAR(A62)-Einstellungen!$B$5</f>
        <v>82</v>
      </c>
      <c r="C62" s="1">
        <f t="shared" si="5"/>
        <v>3628727.696335129</v>
      </c>
      <c r="D62" s="3">
        <f t="shared" si="4"/>
        <v>-86897.889989886564</v>
      </c>
      <c r="E62" s="7">
        <f t="shared" si="1"/>
        <v>2.5000000000000001E-2</v>
      </c>
      <c r="F62" s="7">
        <f t="shared" si="2"/>
        <v>0.06</v>
      </c>
      <c r="G62" s="8">
        <f t="shared" si="6"/>
        <v>217723.66178010774</v>
      </c>
      <c r="H62" s="3">
        <f>C62+F62*C62+D62</f>
        <v>3759553.4681253503</v>
      </c>
    </row>
    <row r="63" spans="1:8" x14ac:dyDescent="0.3">
      <c r="A63" s="36">
        <f t="shared" si="3"/>
        <v>65380</v>
      </c>
      <c r="B63" s="37">
        <f>YEAR(A63)-Einstellungen!$B$5</f>
        <v>83</v>
      </c>
      <c r="C63" s="1">
        <f t="shared" si="5"/>
        <v>3759553.4681253503</v>
      </c>
      <c r="D63" s="3">
        <f t="shared" si="4"/>
        <v>-89070.337239633722</v>
      </c>
      <c r="E63" s="7">
        <f t="shared" si="1"/>
        <v>2.5000000000000001E-2</v>
      </c>
      <c r="F63" s="7">
        <f t="shared" si="2"/>
        <v>0.06</v>
      </c>
      <c r="G63" s="8">
        <f t="shared" si="6"/>
        <v>225573.20808752102</v>
      </c>
      <c r="H63" s="3">
        <f>C63+D63+G63</f>
        <v>3896056.3389732377</v>
      </c>
    </row>
    <row r="64" spans="1:8" x14ac:dyDescent="0.3">
      <c r="A64" s="36">
        <f t="shared" si="3"/>
        <v>65745</v>
      </c>
      <c r="B64" s="37">
        <f>YEAR(A64)-Einstellungen!$B$5</f>
        <v>84</v>
      </c>
      <c r="C64" s="1">
        <f t="shared" si="5"/>
        <v>3896056.3389732377</v>
      </c>
      <c r="D64" s="3">
        <f t="shared" si="4"/>
        <v>-91297.095670624563</v>
      </c>
      <c r="E64" s="7">
        <f t="shared" si="1"/>
        <v>2.5000000000000001E-2</v>
      </c>
      <c r="F64" s="7">
        <f t="shared" si="2"/>
        <v>0.06</v>
      </c>
      <c r="G64" s="8">
        <f t="shared" si="6"/>
        <v>233763.38033839426</v>
      </c>
      <c r="H64" s="3">
        <f>C64+F64*C64+D64</f>
        <v>4038522.6236410071</v>
      </c>
    </row>
    <row r="65" spans="1:8" x14ac:dyDescent="0.3">
      <c r="A65" s="36">
        <f t="shared" si="3"/>
        <v>66111</v>
      </c>
      <c r="B65" s="37">
        <f>YEAR(A65)-Einstellungen!$B$5</f>
        <v>85</v>
      </c>
      <c r="C65" s="1">
        <f t="shared" si="5"/>
        <v>4038522.6236410071</v>
      </c>
      <c r="D65" s="3">
        <f t="shared" si="4"/>
        <v>-93579.523062390173</v>
      </c>
      <c r="E65" s="7">
        <f t="shared" si="1"/>
        <v>2.5000000000000001E-2</v>
      </c>
      <c r="F65" s="7">
        <f t="shared" si="2"/>
        <v>0.06</v>
      </c>
      <c r="G65" s="8">
        <f t="shared" si="6"/>
        <v>242311.35741846042</v>
      </c>
      <c r="H65" s="3">
        <f>C65+D65+G65</f>
        <v>4187254.4579970771</v>
      </c>
    </row>
    <row r="66" spans="1:8" x14ac:dyDescent="0.3">
      <c r="A66" s="36">
        <f t="shared" si="3"/>
        <v>66476</v>
      </c>
      <c r="B66" s="37">
        <f>YEAR(A66)-Einstellungen!$B$5</f>
        <v>86</v>
      </c>
      <c r="C66" s="1">
        <f t="shared" si="5"/>
        <v>4187254.4579970771</v>
      </c>
      <c r="D66" s="3">
        <f t="shared" si="4"/>
        <v>-95919.011138949922</v>
      </c>
      <c r="E66" s="7">
        <f t="shared" si="1"/>
        <v>2.5000000000000001E-2</v>
      </c>
      <c r="F66" s="7">
        <f t="shared" si="2"/>
        <v>0.06</v>
      </c>
      <c r="G66" s="8">
        <f t="shared" si="6"/>
        <v>251235.26747982463</v>
      </c>
      <c r="H66" s="3">
        <f>C66+F66*C66+D66</f>
        <v>4342570.7143379524</v>
      </c>
    </row>
    <row r="67" spans="1:8" x14ac:dyDescent="0.3">
      <c r="A67" s="36">
        <f t="shared" si="3"/>
        <v>66841</v>
      </c>
      <c r="B67" s="37">
        <f>YEAR(A67)-Einstellungen!$B$5</f>
        <v>87</v>
      </c>
      <c r="C67" s="1">
        <f t="shared" si="5"/>
        <v>4342570.7143379524</v>
      </c>
      <c r="D67" s="3">
        <f t="shared" si="4"/>
        <v>-98316.986417423657</v>
      </c>
      <c r="E67" s="7">
        <f t="shared" si="1"/>
        <v>2.5000000000000001E-2</v>
      </c>
      <c r="F67" s="7">
        <f t="shared" si="2"/>
        <v>0.06</v>
      </c>
      <c r="G67" s="8">
        <f t="shared" si="6"/>
        <v>260554.24286027713</v>
      </c>
      <c r="H67" s="3">
        <f>C67+D67+G67</f>
        <v>4504807.9707808057</v>
      </c>
    </row>
    <row r="68" spans="1:8" x14ac:dyDescent="0.3">
      <c r="A68" s="36">
        <f t="shared" si="3"/>
        <v>67206</v>
      </c>
      <c r="B68" s="37">
        <f>YEAR(A68)-Einstellungen!$B$5</f>
        <v>88</v>
      </c>
      <c r="C68" s="1">
        <f t="shared" si="5"/>
        <v>4504807.9707808057</v>
      </c>
      <c r="D68" s="3">
        <f t="shared" si="4"/>
        <v>-100774.91107785924</v>
      </c>
      <c r="E68" s="7">
        <f t="shared" si="1"/>
        <v>2.5000000000000001E-2</v>
      </c>
      <c r="F68" s="7">
        <f t="shared" si="2"/>
        <v>0.06</v>
      </c>
      <c r="G68" s="8">
        <f t="shared" si="6"/>
        <v>270288.47824684833</v>
      </c>
      <c r="H68" s="3">
        <f>C68+F68*C68+D68</f>
        <v>4674321.5379497949</v>
      </c>
    </row>
    <row r="69" spans="1:8" x14ac:dyDescent="0.3">
      <c r="A69" s="36">
        <f t="shared" si="3"/>
        <v>67572</v>
      </c>
      <c r="B69" s="37">
        <f>YEAR(A69)-Einstellungen!$B$5</f>
        <v>89</v>
      </c>
      <c r="C69" s="1">
        <f t="shared" si="5"/>
        <v>4674321.5379497949</v>
      </c>
      <c r="D69" s="3">
        <f t="shared" si="4"/>
        <v>-103294.28385480572</v>
      </c>
      <c r="E69" s="7">
        <f t="shared" si="1"/>
        <v>2.5000000000000001E-2</v>
      </c>
      <c r="F69" s="7">
        <f t="shared" si="2"/>
        <v>0.06</v>
      </c>
      <c r="G69" s="8">
        <f t="shared" si="6"/>
        <v>280459.29227698769</v>
      </c>
      <c r="H69" s="3">
        <f>C69+D69+G69</f>
        <v>4851486.5463719768</v>
      </c>
    </row>
    <row r="70" spans="1:8" x14ac:dyDescent="0.3">
      <c r="A70" s="36">
        <f t="shared" si="3"/>
        <v>67937</v>
      </c>
      <c r="B70" s="37">
        <f>YEAR(A70)-Einstellungen!$B$5</f>
        <v>90</v>
      </c>
      <c r="C70" s="1">
        <f t="shared" si="5"/>
        <v>4851486.5463719768</v>
      </c>
      <c r="D70" s="3">
        <f t="shared" si="4"/>
        <v>-105876.64095117585</v>
      </c>
      <c r="E70" s="7">
        <f t="shared" si="1"/>
        <v>2.5000000000000001E-2</v>
      </c>
      <c r="F70" s="7">
        <f t="shared" si="2"/>
        <v>0.06</v>
      </c>
      <c r="G70" s="8">
        <f t="shared" si="6"/>
        <v>291089.19278231863</v>
      </c>
      <c r="H70" s="3">
        <f>C70+F70*C70+D70</f>
        <v>5036699.0982031189</v>
      </c>
    </row>
    <row r="71" spans="1:8" x14ac:dyDescent="0.3">
      <c r="A71" s="36">
        <f t="shared" si="3"/>
        <v>68302</v>
      </c>
      <c r="B71" s="37">
        <f>YEAR(A71)-Einstellungen!$B$5</f>
        <v>91</v>
      </c>
      <c r="C71" s="1">
        <f t="shared" si="5"/>
        <v>5036699.0982031189</v>
      </c>
      <c r="D71" s="3">
        <f t="shared" si="4"/>
        <v>-108523.55697495524</v>
      </c>
      <c r="E71" s="7">
        <f t="shared" si="1"/>
        <v>2.5000000000000001E-2</v>
      </c>
      <c r="F71" s="7">
        <f t="shared" si="2"/>
        <v>0.06</v>
      </c>
      <c r="G71" s="8">
        <f t="shared" si="6"/>
        <v>302201.94589218713</v>
      </c>
      <c r="H71" s="3">
        <f>C71+D71+G71</f>
        <v>5230377.4871203508</v>
      </c>
    </row>
    <row r="72" spans="1:8" x14ac:dyDescent="0.3">
      <c r="A72" s="36">
        <f t="shared" si="3"/>
        <v>68667</v>
      </c>
      <c r="B72" s="37">
        <f>YEAR(A72)-Einstellungen!$B$5</f>
        <v>92</v>
      </c>
      <c r="C72" s="1">
        <f t="shared" si="5"/>
        <v>5230377.4871203508</v>
      </c>
      <c r="D72" s="3">
        <f t="shared" si="4"/>
        <v>-111236.64589932912</v>
      </c>
      <c r="E72" s="7">
        <f t="shared" si="1"/>
        <v>2.5000000000000001E-2</v>
      </c>
      <c r="F72" s="7">
        <f t="shared" si="2"/>
        <v>0.06</v>
      </c>
      <c r="G72" s="8">
        <f t="shared" si="6"/>
        <v>313822.64922722103</v>
      </c>
      <c r="H72" s="3">
        <f>C72+F72*C72+D72</f>
        <v>5432963.4904482421</v>
      </c>
    </row>
    <row r="73" spans="1:8" x14ac:dyDescent="0.3">
      <c r="A73" s="36">
        <f t="shared" si="3"/>
        <v>69033</v>
      </c>
      <c r="B73" s="37">
        <f>YEAR(A73)-Einstellungen!$B$5</f>
        <v>93</v>
      </c>
      <c r="C73" s="1">
        <f t="shared" si="5"/>
        <v>5432963.4904482421</v>
      </c>
      <c r="D73" s="3">
        <f t="shared" si="4"/>
        <v>-114017.56204681234</v>
      </c>
      <c r="E73" s="7">
        <f t="shared" si="1"/>
        <v>2.5000000000000001E-2</v>
      </c>
      <c r="F73" s="7">
        <f t="shared" si="2"/>
        <v>0.06</v>
      </c>
      <c r="G73" s="8">
        <f t="shared" si="6"/>
        <v>325977.80942689453</v>
      </c>
      <c r="H73" s="3">
        <f>C73+D73+G73</f>
        <v>5644923.7378283245</v>
      </c>
    </row>
    <row r="74" spans="1:8" x14ac:dyDescent="0.3">
      <c r="A74" s="36">
        <f t="shared" si="3"/>
        <v>69398</v>
      </c>
      <c r="B74" s="37">
        <f>YEAR(A74)-Einstellungen!$B$5</f>
        <v>94</v>
      </c>
      <c r="C74" s="1">
        <f t="shared" si="5"/>
        <v>5644923.7378283245</v>
      </c>
      <c r="D74" s="3">
        <f t="shared" si="4"/>
        <v>-116868.00109798263</v>
      </c>
      <c r="E74" s="7">
        <f t="shared" si="1"/>
        <v>2.5000000000000001E-2</v>
      </c>
      <c r="F74" s="7">
        <f t="shared" si="2"/>
        <v>0.06</v>
      </c>
      <c r="G74" s="8">
        <f t="shared" ref="G74:G89" si="7">C74*F74</f>
        <v>338695.42426969943</v>
      </c>
      <c r="H74" s="3">
        <f>C74+F74*C74+D74</f>
        <v>5866751.1610000413</v>
      </c>
    </row>
    <row r="75" spans="1:8" x14ac:dyDescent="0.3">
      <c r="A75" s="36">
        <f t="shared" si="3"/>
        <v>69763</v>
      </c>
      <c r="B75" s="37">
        <f>YEAR(A75)-Einstellungen!$B$5</f>
        <v>95</v>
      </c>
      <c r="C75" s="1">
        <f t="shared" si="5"/>
        <v>5866751.1610000413</v>
      </c>
      <c r="D75" s="3">
        <f t="shared" si="4"/>
        <v>-119789.70112543218</v>
      </c>
      <c r="E75" s="7">
        <f t="shared" ref="E75:E89" si="8">$D$5</f>
        <v>2.5000000000000001E-2</v>
      </c>
      <c r="F75" s="7">
        <f t="shared" ref="F75:F89" si="9">$D$3</f>
        <v>0.06</v>
      </c>
      <c r="G75" s="8">
        <f t="shared" si="7"/>
        <v>352005.06966000248</v>
      </c>
      <c r="H75" s="3">
        <f>C75+D75+G75</f>
        <v>6098966.5295346119</v>
      </c>
    </row>
    <row r="76" spans="1:8" x14ac:dyDescent="0.3">
      <c r="A76" s="36">
        <f t="shared" ref="A76:A89" si="10">EDATE(A75,12)</f>
        <v>70128</v>
      </c>
      <c r="B76" s="37">
        <f>YEAR(A76)-Einstellungen!$B$5</f>
        <v>96</v>
      </c>
      <c r="C76" s="1">
        <f t="shared" si="5"/>
        <v>6098966.5295346119</v>
      </c>
      <c r="D76" s="3">
        <f t="shared" ref="D76:D89" si="11">IF(B76=$D$6,-12*$D$7,D75*(1+E75))</f>
        <v>-122784.44365356799</v>
      </c>
      <c r="E76" s="7">
        <f t="shared" si="8"/>
        <v>2.5000000000000001E-2</v>
      </c>
      <c r="F76" s="7">
        <f t="shared" si="9"/>
        <v>0.06</v>
      </c>
      <c r="G76" s="8">
        <f t="shared" si="7"/>
        <v>365937.9917720767</v>
      </c>
      <c r="H76" s="3">
        <f>C76+F76*C76+D76</f>
        <v>6342120.0776531212</v>
      </c>
    </row>
    <row r="77" spans="1:8" x14ac:dyDescent="0.3">
      <c r="A77" s="36">
        <f t="shared" si="10"/>
        <v>70494</v>
      </c>
      <c r="B77" s="37">
        <f>YEAR(A77)-Einstellungen!$B$5</f>
        <v>97</v>
      </c>
      <c r="C77" s="1">
        <f t="shared" ref="C77:C82" si="12">H76</f>
        <v>6342120.0776531212</v>
      </c>
      <c r="D77" s="3">
        <f t="shared" si="11"/>
        <v>-125854.05474490717</v>
      </c>
      <c r="E77" s="7">
        <f t="shared" si="8"/>
        <v>2.5000000000000001E-2</v>
      </c>
      <c r="F77" s="7">
        <f t="shared" si="9"/>
        <v>0.06</v>
      </c>
      <c r="G77" s="8">
        <f t="shared" si="7"/>
        <v>380527.20465918723</v>
      </c>
      <c r="H77" s="3">
        <f>C77+D77+G77</f>
        <v>6596793.2275674017</v>
      </c>
    </row>
    <row r="78" spans="1:8" x14ac:dyDescent="0.3">
      <c r="A78" s="36">
        <f t="shared" si="10"/>
        <v>70859</v>
      </c>
      <c r="B78" s="37">
        <f>YEAR(A78)-Einstellungen!$B$5</f>
        <v>98</v>
      </c>
      <c r="C78" s="1">
        <f t="shared" si="12"/>
        <v>6596793.2275674017</v>
      </c>
      <c r="D78" s="3">
        <f t="shared" si="11"/>
        <v>-129000.40611352984</v>
      </c>
      <c r="E78" s="7">
        <f t="shared" si="8"/>
        <v>2.5000000000000001E-2</v>
      </c>
      <c r="F78" s="7">
        <f t="shared" si="9"/>
        <v>0.06</v>
      </c>
      <c r="G78" s="8">
        <f t="shared" si="7"/>
        <v>395807.59365404409</v>
      </c>
      <c r="H78" s="3">
        <f>C78+F78*C78+D78</f>
        <v>6863600.4151079161</v>
      </c>
    </row>
    <row r="79" spans="1:8" x14ac:dyDescent="0.3">
      <c r="A79" s="36">
        <f t="shared" si="10"/>
        <v>71224</v>
      </c>
      <c r="B79" s="37">
        <f>YEAR(A79)-Einstellungen!$B$5</f>
        <v>99</v>
      </c>
      <c r="C79" s="1">
        <f t="shared" si="12"/>
        <v>6863600.4151079161</v>
      </c>
      <c r="D79" s="3">
        <f t="shared" si="11"/>
        <v>-132225.41626636806</v>
      </c>
      <c r="E79" s="7">
        <f t="shared" si="8"/>
        <v>2.5000000000000001E-2</v>
      </c>
      <c r="F79" s="7">
        <f t="shared" si="9"/>
        <v>0.06</v>
      </c>
      <c r="G79" s="8">
        <f t="shared" si="7"/>
        <v>411816.02490647492</v>
      </c>
      <c r="H79" s="3">
        <f>C79+D79+G79</f>
        <v>7143191.0237480234</v>
      </c>
    </row>
    <row r="80" spans="1:8" x14ac:dyDescent="0.3">
      <c r="A80" s="36">
        <f t="shared" si="10"/>
        <v>71589</v>
      </c>
      <c r="B80" s="37">
        <f>YEAR(A80)-Einstellungen!$B$5</f>
        <v>100</v>
      </c>
      <c r="C80" s="1">
        <f t="shared" si="12"/>
        <v>7143191.0237480234</v>
      </c>
      <c r="D80" s="3">
        <f t="shared" si="11"/>
        <v>-135531.05167302725</v>
      </c>
      <c r="E80" s="7">
        <f t="shared" si="8"/>
        <v>2.5000000000000001E-2</v>
      </c>
      <c r="F80" s="7">
        <f t="shared" si="9"/>
        <v>0.06</v>
      </c>
      <c r="G80" s="8">
        <f t="shared" si="7"/>
        <v>428591.46142488142</v>
      </c>
      <c r="H80" s="3">
        <f>C80+F80*C80+D80</f>
        <v>7436251.4334998773</v>
      </c>
    </row>
    <row r="81" spans="1:8" x14ac:dyDescent="0.3">
      <c r="A81" s="36">
        <f t="shared" si="10"/>
        <v>71955</v>
      </c>
      <c r="B81" s="37">
        <f>YEAR(A81)-Einstellungen!$B$5</f>
        <v>101</v>
      </c>
      <c r="C81" s="1">
        <f t="shared" si="12"/>
        <v>7436251.4334998773</v>
      </c>
      <c r="D81" s="3">
        <f t="shared" si="11"/>
        <v>-138919.32796485291</v>
      </c>
      <c r="E81" s="7">
        <f t="shared" si="8"/>
        <v>2.5000000000000001E-2</v>
      </c>
      <c r="F81" s="7">
        <f t="shared" si="9"/>
        <v>0.06</v>
      </c>
      <c r="G81" s="8">
        <f t="shared" si="7"/>
        <v>446175.08600999264</v>
      </c>
      <c r="H81" s="3">
        <f>C81+D81+G81</f>
        <v>7743507.1915450171</v>
      </c>
    </row>
    <row r="82" spans="1:8" x14ac:dyDescent="0.3">
      <c r="A82" s="36">
        <f t="shared" si="10"/>
        <v>72320</v>
      </c>
      <c r="B82" s="37">
        <f>YEAR(A82)-Einstellungen!$B$5</f>
        <v>102</v>
      </c>
      <c r="C82" s="1">
        <f t="shared" si="12"/>
        <v>7743507.1915450171</v>
      </c>
      <c r="D82" s="3">
        <f t="shared" si="11"/>
        <v>-142392.31116397423</v>
      </c>
      <c r="E82" s="7">
        <f t="shared" si="8"/>
        <v>2.5000000000000001E-2</v>
      </c>
      <c r="F82" s="7">
        <f t="shared" si="9"/>
        <v>0.06</v>
      </c>
      <c r="G82" s="8">
        <f t="shared" si="7"/>
        <v>464610.431492701</v>
      </c>
      <c r="H82" s="3">
        <f t="shared" ref="H82:H89" si="13">C82+F82*C82+D82</f>
        <v>8065725.3118737442</v>
      </c>
    </row>
    <row r="83" spans="1:8" x14ac:dyDescent="0.3">
      <c r="A83" s="36">
        <f t="shared" si="10"/>
        <v>72685</v>
      </c>
      <c r="B83" s="37">
        <f>YEAR(A83)-Einstellungen!$B$5</f>
        <v>103</v>
      </c>
      <c r="C83" s="1">
        <f t="shared" ref="C83:C89" si="14">H82</f>
        <v>8065725.3118737442</v>
      </c>
      <c r="D83" s="3">
        <f t="shared" si="11"/>
        <v>-145952.11894307358</v>
      </c>
      <c r="E83" s="7">
        <f t="shared" si="8"/>
        <v>2.5000000000000001E-2</v>
      </c>
      <c r="F83" s="7">
        <f t="shared" si="9"/>
        <v>0.06</v>
      </c>
      <c r="G83" s="8">
        <f t="shared" si="7"/>
        <v>483943.51871242461</v>
      </c>
      <c r="H83" s="3">
        <f t="shared" si="13"/>
        <v>8403716.7116430961</v>
      </c>
    </row>
    <row r="84" spans="1:8" x14ac:dyDescent="0.3">
      <c r="A84" s="36">
        <f t="shared" si="10"/>
        <v>73050</v>
      </c>
      <c r="B84" s="37">
        <f>YEAR(A84)-Einstellungen!$B$5</f>
        <v>104</v>
      </c>
      <c r="C84" s="1">
        <f t="shared" si="14"/>
        <v>8403716.7116430961</v>
      </c>
      <c r="D84" s="3">
        <f t="shared" si="11"/>
        <v>-149600.9219166504</v>
      </c>
      <c r="E84" s="7">
        <f t="shared" si="8"/>
        <v>2.5000000000000001E-2</v>
      </c>
      <c r="F84" s="7">
        <f t="shared" si="9"/>
        <v>0.06</v>
      </c>
      <c r="G84" s="8">
        <f t="shared" si="7"/>
        <v>504223.00269858574</v>
      </c>
      <c r="H84" s="3">
        <f t="shared" si="13"/>
        <v>8758338.7924250308</v>
      </c>
    </row>
    <row r="85" spans="1:8" x14ac:dyDescent="0.3">
      <c r="A85" s="36">
        <f t="shared" si="10"/>
        <v>73415</v>
      </c>
      <c r="B85" s="37">
        <f>YEAR(A85)-Einstellungen!$B$5</f>
        <v>105</v>
      </c>
      <c r="C85" s="1">
        <f t="shared" si="14"/>
        <v>8758338.7924250308</v>
      </c>
      <c r="D85" s="3">
        <f t="shared" si="11"/>
        <v>-153340.94496456665</v>
      </c>
      <c r="E85" s="7">
        <f t="shared" si="8"/>
        <v>2.5000000000000001E-2</v>
      </c>
      <c r="F85" s="7">
        <f t="shared" si="9"/>
        <v>0.06</v>
      </c>
      <c r="G85" s="8">
        <f t="shared" si="7"/>
        <v>525500.32754550187</v>
      </c>
      <c r="H85" s="3">
        <f t="shared" si="13"/>
        <v>9130498.1750059649</v>
      </c>
    </row>
    <row r="86" spans="1:8" x14ac:dyDescent="0.3">
      <c r="A86" s="36">
        <f t="shared" si="10"/>
        <v>73780</v>
      </c>
      <c r="B86" s="37">
        <f>YEAR(A86)-Einstellungen!$B$5</f>
        <v>106</v>
      </c>
      <c r="C86" s="1">
        <f t="shared" si="14"/>
        <v>9130498.1750059649</v>
      </c>
      <c r="D86" s="3">
        <f t="shared" si="11"/>
        <v>-157174.46858868079</v>
      </c>
      <c r="E86" s="7">
        <f t="shared" si="8"/>
        <v>2.5000000000000001E-2</v>
      </c>
      <c r="F86" s="7">
        <f t="shared" si="9"/>
        <v>0.06</v>
      </c>
      <c r="G86" s="8">
        <f t="shared" si="7"/>
        <v>547829.89050035784</v>
      </c>
      <c r="H86" s="3">
        <f t="shared" si="13"/>
        <v>9521153.5969176423</v>
      </c>
    </row>
    <row r="87" spans="1:8" x14ac:dyDescent="0.3">
      <c r="A87" s="36">
        <f t="shared" si="10"/>
        <v>74145</v>
      </c>
      <c r="B87" s="37">
        <f>YEAR(A87)-Einstellungen!$B$5</f>
        <v>107</v>
      </c>
      <c r="C87" s="1">
        <f t="shared" si="14"/>
        <v>9521153.5969176423</v>
      </c>
      <c r="D87" s="3">
        <f t="shared" si="11"/>
        <v>-161103.83030339779</v>
      </c>
      <c r="E87" s="7">
        <f t="shared" si="8"/>
        <v>2.5000000000000001E-2</v>
      </c>
      <c r="F87" s="7">
        <f t="shared" si="9"/>
        <v>0.06</v>
      </c>
      <c r="G87" s="8">
        <f t="shared" si="7"/>
        <v>571269.21581505856</v>
      </c>
      <c r="H87" s="3">
        <f t="shared" si="13"/>
        <v>9931318.9824293032</v>
      </c>
    </row>
    <row r="88" spans="1:8" x14ac:dyDescent="0.3">
      <c r="A88" s="36">
        <f t="shared" si="10"/>
        <v>74510</v>
      </c>
      <c r="B88" s="37">
        <f>YEAR(A88)-Einstellungen!$B$5</f>
        <v>108</v>
      </c>
      <c r="C88" s="1">
        <f t="shared" si="14"/>
        <v>9931318.9824293032</v>
      </c>
      <c r="D88" s="3">
        <f t="shared" si="11"/>
        <v>-165131.42606098272</v>
      </c>
      <c r="E88" s="7">
        <f t="shared" si="8"/>
        <v>2.5000000000000001E-2</v>
      </c>
      <c r="F88" s="7">
        <f t="shared" si="9"/>
        <v>0.06</v>
      </c>
      <c r="G88" s="8">
        <f t="shared" si="7"/>
        <v>595879.13894575823</v>
      </c>
      <c r="H88" s="3">
        <f t="shared" si="13"/>
        <v>10362066.69531408</v>
      </c>
    </row>
    <row r="89" spans="1:8" x14ac:dyDescent="0.3">
      <c r="A89" s="36">
        <f t="shared" si="10"/>
        <v>74876</v>
      </c>
      <c r="B89" s="37">
        <f>YEAR(A89)-Einstellungen!$B$5</f>
        <v>109</v>
      </c>
      <c r="C89" s="1">
        <f t="shared" si="14"/>
        <v>10362066.69531408</v>
      </c>
      <c r="D89" s="3">
        <f t="shared" si="11"/>
        <v>-169259.71171250727</v>
      </c>
      <c r="E89" s="7">
        <f t="shared" si="8"/>
        <v>2.5000000000000001E-2</v>
      </c>
      <c r="F89" s="7">
        <f t="shared" si="9"/>
        <v>0.06</v>
      </c>
      <c r="G89" s="8">
        <f t="shared" si="7"/>
        <v>621724.00171884475</v>
      </c>
      <c r="H89" s="3">
        <f t="shared" si="13"/>
        <v>10814530.985320417</v>
      </c>
    </row>
  </sheetData>
  <mergeCells count="4">
    <mergeCell ref="A2:C2"/>
    <mergeCell ref="A3:C3"/>
    <mergeCell ref="A4:C4"/>
    <mergeCell ref="A5:C5"/>
  </mergeCells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Einstellungen</vt:lpstr>
      <vt:lpstr>Aufgabenliste</vt:lpstr>
      <vt:lpstr>Einnahmen Ausgaben</vt:lpstr>
      <vt:lpstr>Vermögensaufstellung</vt:lpstr>
      <vt:lpstr>Vermögensüberblick</vt:lpstr>
      <vt:lpstr>Vermögensaufbau - Szenarien</vt:lpstr>
      <vt:lpstr>Vermögensaufstellung!Druckbereich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2024-02-25T14:14:45Z</dcterms:created>
  <dcterms:modified xsi:type="dcterms:W3CDTF">2025-10-03T15:03:33Z</dcterms:modified>
</cp:coreProperties>
</file>